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64011"/>
  <workbookProtection workbookAlgorithmName="SHA-512" workbookHashValue="M4fxcnLybKasrqdBzTRp0Q7UzNvzij6rSnT3y3Po3DgD3/k8gZncjQShkKC7X5HGnIkxUaLGOmOphLdDYJIoaQ==" workbookSaltValue="9jl6WcxwWslRZjE4p6VIzw==" workbookSpinCount="100000" lockStructure="1"/>
  <bookViews>
    <workbookView xWindow="0" yWindow="0" windowWidth="19200" windowHeight="11460" tabRatio="933"/>
  </bookViews>
  <sheets>
    <sheet name="CAM" sheetId="1" r:id="rId1"/>
    <sheet name="Eligibility" sheetId="13" r:id="rId2"/>
    <sheet name="Fin-1" sheetId="3" r:id="rId3"/>
    <sheet name="Fin-2" sheetId="18" r:id="rId4"/>
    <sheet name="Fin-3" sheetId="19" r:id="rId5"/>
    <sheet name="Fin-Clubbed" sheetId="20" r:id="rId6"/>
    <sheet name="Banking" sheetId="7" r:id="rId7"/>
    <sheet name="Existing Loans" sheetId="8" r:id="rId8"/>
    <sheet name="List of Equipments" sheetId="9" r:id="rId9"/>
    <sheet name="Forward Looking DSCR" sheetId="23" r:id="rId10"/>
    <sheet name="Workings" sheetId="10" state="hidden" r:id="rId11"/>
    <sheet name="Scorecard" sheetId="14" state="hidden" r:id="rId12"/>
    <sheet name="CAP" sheetId="16" r:id="rId13"/>
    <sheet name="CIP" sheetId="15" r:id="rId14"/>
    <sheet name="Deviations" sheetId="17" state="hidden" r:id="rId15"/>
    <sheet name="Rough Sheet-1" sheetId="22" r:id="rId16"/>
    <sheet name="Rough Sheet-2" sheetId="24" r:id="rId17"/>
    <sheet name="List of Districts" sheetId="12" state="hidden" r:id="rId18"/>
  </sheets>
  <definedNames>
    <definedName name="_xlnm._FilterDatabase" localSheetId="17" hidden="1">'List of Districts'!$A$3:$C$739</definedName>
    <definedName name="Age_of_Borrower">Deviations!$H$2:$H$3</definedName>
    <definedName name="Bureau_Norms">Deviations!$J$2</definedName>
    <definedName name="Constitution_Designation">Workings!$G$2:$G$33</definedName>
    <definedName name="EMI_Date">Workings!$E$2:$E$32</definedName>
    <definedName name="Equipment_Manufacturer_not_listed">Deviations!$I$2</definedName>
    <definedName name="Financial_Norms_and_Banking_Criteria">Deviations!$E$2:$E$8</definedName>
    <definedName name="Inward_Cheque_Returns">Deviations!$F$2:$F$3</definedName>
    <definedName name="Loan_Status">Workings!$C$2:$C$6</definedName>
    <definedName name="LTV_Deviation">Deviations!$K$2:$K$3</definedName>
    <definedName name="Moratorium">Deviations!$L$2:$L$6</definedName>
    <definedName name="Other_Deviation">Deviations!$M$2:$M$5</definedName>
    <definedName name="Promoter_Experience">Deviations!$G$2:$G$3</definedName>
    <definedName name="Repayment">Workings!$F$2:$F$11</definedName>
    <definedName name="SIC_Industry">Workings!$A$38:$A$57</definedName>
    <definedName name="Type_of_Loan">Workings!$B$2:$B$21</definedName>
  </definedNames>
  <calcPr calcId="162913"/>
  <pivotCaches>
    <pivotCache cacheId="69"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 i="23" l="1"/>
  <c r="B13" i="23" l="1"/>
  <c r="B46" i="23" s="1"/>
  <c r="B48" i="23" s="1"/>
  <c r="B14" i="23" l="1"/>
  <c r="T12" i="1"/>
  <c r="D82" i="3"/>
  <c r="N32" i="7"/>
  <c r="O32" i="7"/>
  <c r="O31" i="7"/>
  <c r="N31" i="7"/>
  <c r="C30" i="7"/>
  <c r="O30" i="7"/>
  <c r="N30" i="7"/>
  <c r="M30" i="7"/>
  <c r="L30" i="7"/>
  <c r="K30" i="7"/>
  <c r="J31" i="7"/>
  <c r="J30" i="7"/>
  <c r="I31" i="7"/>
  <c r="I30" i="7"/>
  <c r="H31" i="7"/>
  <c r="H30" i="7"/>
  <c r="G30" i="7"/>
  <c r="G31" i="7"/>
  <c r="F32" i="7"/>
  <c r="F31" i="7"/>
  <c r="C32" i="7"/>
  <c r="C31" i="7"/>
  <c r="M9" i="7"/>
  <c r="L9" i="7"/>
  <c r="Q8" i="7"/>
  <c r="P8" i="7"/>
  <c r="O8" i="7"/>
  <c r="N8" i="7"/>
  <c r="M8" i="7"/>
  <c r="L8" i="7"/>
  <c r="K8" i="7"/>
  <c r="J8" i="7"/>
  <c r="R8" i="7" s="1"/>
  <c r="G8" i="7"/>
  <c r="I8" i="7" s="1"/>
  <c r="F8" i="7"/>
  <c r="E8" i="7"/>
  <c r="C8" i="7"/>
  <c r="Q7" i="7"/>
  <c r="P7" i="7"/>
  <c r="O7" i="7"/>
  <c r="N7" i="7"/>
  <c r="M7" i="7"/>
  <c r="L7" i="7"/>
  <c r="K7" i="7"/>
  <c r="J7" i="7"/>
  <c r="R7" i="7" s="1"/>
  <c r="I7" i="7"/>
  <c r="G7" i="7"/>
  <c r="H7" i="7" s="1"/>
  <c r="F7" i="7"/>
  <c r="E7" i="7"/>
  <c r="C7" i="7"/>
  <c r="Q6" i="7"/>
  <c r="P6" i="7"/>
  <c r="O6" i="7"/>
  <c r="N6" i="7"/>
  <c r="M6" i="7"/>
  <c r="L6" i="7"/>
  <c r="K6" i="7"/>
  <c r="J6" i="7"/>
  <c r="R6" i="7" s="1"/>
  <c r="I6" i="7"/>
  <c r="H6" i="7"/>
  <c r="G6" i="7"/>
  <c r="F6" i="7"/>
  <c r="E6" i="7"/>
  <c r="C6" i="7"/>
  <c r="Q5" i="7"/>
  <c r="P5" i="7"/>
  <c r="O5" i="7"/>
  <c r="N5" i="7"/>
  <c r="M5" i="7"/>
  <c r="L5" i="7"/>
  <c r="K5" i="7"/>
  <c r="J5" i="7"/>
  <c r="R5" i="7" s="1"/>
  <c r="H5" i="7"/>
  <c r="G5" i="7"/>
  <c r="I5" i="7" s="1"/>
  <c r="F5" i="7"/>
  <c r="E5" i="7"/>
  <c r="C5" i="7"/>
  <c r="Q4" i="7"/>
  <c r="P4" i="7"/>
  <c r="O4" i="7"/>
  <c r="N4" i="7"/>
  <c r="M4" i="7"/>
  <c r="L4" i="7"/>
  <c r="K4" i="7"/>
  <c r="J4" i="7"/>
  <c r="R4" i="7" s="1"/>
  <c r="G4" i="7"/>
  <c r="I4" i="7" s="1"/>
  <c r="F4" i="7"/>
  <c r="E4" i="7"/>
  <c r="C4" i="7"/>
  <c r="Q3" i="7"/>
  <c r="K3" i="7"/>
  <c r="K9" i="7" s="1"/>
  <c r="J3" i="7"/>
  <c r="R3" i="7" s="1"/>
  <c r="R9" i="7" s="1"/>
  <c r="I3" i="7"/>
  <c r="H3" i="7"/>
  <c r="G3" i="7"/>
  <c r="F3" i="7"/>
  <c r="E3" i="7"/>
  <c r="C3" i="7"/>
  <c r="O29" i="7"/>
  <c r="O28" i="7"/>
  <c r="O27" i="7"/>
  <c r="O26" i="7"/>
  <c r="O25" i="7"/>
  <c r="O24" i="7"/>
  <c r="O23" i="7"/>
  <c r="O22" i="7"/>
  <c r="O21" i="7"/>
  <c r="O20" i="7"/>
  <c r="O19" i="7"/>
  <c r="O18" i="7"/>
  <c r="N29" i="7"/>
  <c r="N28" i="7"/>
  <c r="N27" i="7"/>
  <c r="N26" i="7"/>
  <c r="N25" i="7"/>
  <c r="N24" i="7"/>
  <c r="N23" i="7"/>
  <c r="N22" i="7"/>
  <c r="N21" i="7"/>
  <c r="N20" i="7"/>
  <c r="N19" i="7"/>
  <c r="N18" i="7"/>
  <c r="F30" i="7"/>
  <c r="D30" i="7"/>
  <c r="B19" i="7"/>
  <c r="B20" i="7" s="1"/>
  <c r="B21" i="7" s="1"/>
  <c r="B22" i="7" s="1"/>
  <c r="B23" i="7" s="1"/>
  <c r="B24" i="7" s="1"/>
  <c r="B25" i="7" s="1"/>
  <c r="B26" i="7" s="1"/>
  <c r="B27" i="7" s="1"/>
  <c r="B28" i="7" s="1"/>
  <c r="B29" i="7" s="1"/>
  <c r="N3" i="7" l="1"/>
  <c r="N9" i="7" s="1"/>
  <c r="O3" i="7"/>
  <c r="O9" i="7" s="1"/>
  <c r="P3" i="7"/>
  <c r="P9" i="7" s="1"/>
  <c r="J9" i="7"/>
  <c r="H4" i="7"/>
  <c r="H8" i="7"/>
  <c r="E10" i="24" l="1"/>
  <c r="E9" i="24"/>
  <c r="E8" i="24"/>
  <c r="E7" i="24"/>
  <c r="E6" i="24"/>
  <c r="D10" i="24"/>
  <c r="F10" i="24"/>
  <c r="D9" i="24"/>
  <c r="F9" i="24"/>
  <c r="D8" i="24"/>
  <c r="F8" i="24"/>
  <c r="D7" i="24"/>
  <c r="F7" i="24"/>
  <c r="F6" i="24"/>
  <c r="D6" i="24"/>
  <c r="F11" i="24" l="1"/>
  <c r="E11" i="24"/>
  <c r="AI36" i="8" l="1"/>
  <c r="AJ36" i="8"/>
  <c r="AK36" i="8" s="1"/>
  <c r="R20" i="8" l="1"/>
  <c r="R17" i="8"/>
  <c r="C42" i="23" l="1"/>
  <c r="D42" i="23" s="1"/>
  <c r="E42" i="23" s="1"/>
  <c r="F42" i="23" s="1"/>
  <c r="C8" i="23"/>
  <c r="D8" i="23" s="1"/>
  <c r="E8" i="23" s="1"/>
  <c r="F8" i="23" s="1"/>
  <c r="C5" i="23"/>
  <c r="D5" i="23" s="1"/>
  <c r="E5" i="23" s="1"/>
  <c r="F5" i="23" s="1"/>
  <c r="C4" i="23"/>
  <c r="D4" i="23" s="1"/>
  <c r="E4" i="23" s="1"/>
  <c r="F4" i="23" s="1"/>
  <c r="F41" i="23" l="1"/>
  <c r="C45" i="23"/>
  <c r="D45" i="23" s="1"/>
  <c r="E45" i="23" s="1"/>
  <c r="F45" i="23" s="1"/>
  <c r="C41" i="23"/>
  <c r="D41" i="23" s="1"/>
  <c r="C39" i="23"/>
  <c r="D39" i="23" s="1"/>
  <c r="E39" i="23" s="1"/>
  <c r="F39" i="23" s="1"/>
  <c r="C38" i="23"/>
  <c r="D38" i="23" s="1"/>
  <c r="E38" i="23" s="1"/>
  <c r="F38" i="23" s="1"/>
  <c r="C37" i="23"/>
  <c r="D37" i="23" s="1"/>
  <c r="E37" i="23" s="1"/>
  <c r="F37" i="23" s="1"/>
  <c r="C13" i="23"/>
  <c r="D13" i="23" l="1"/>
  <c r="C43" i="23"/>
  <c r="C14" i="23"/>
  <c r="D14" i="23" s="1"/>
  <c r="E14" i="23" s="1"/>
  <c r="F14" i="23" s="1"/>
  <c r="E13" i="23" l="1"/>
  <c r="D43" i="23"/>
  <c r="R13" i="8"/>
  <c r="S13" i="8" s="1"/>
  <c r="R12" i="8"/>
  <c r="S12" i="8" s="1"/>
  <c r="F13" i="23" l="1"/>
  <c r="F43" i="23" s="1"/>
  <c r="E43" i="23"/>
  <c r="B91" i="3"/>
  <c r="AS107" i="8" l="1"/>
  <c r="J8" i="14" l="1"/>
  <c r="K8" i="14" s="1"/>
  <c r="O124" i="7"/>
  <c r="O123" i="7"/>
  <c r="O122" i="7"/>
  <c r="O121" i="7"/>
  <c r="O120" i="7"/>
  <c r="O119" i="7"/>
  <c r="O118" i="7"/>
  <c r="O117" i="7"/>
  <c r="O116" i="7"/>
  <c r="O115" i="7"/>
  <c r="O114" i="7"/>
  <c r="O113" i="7"/>
  <c r="O105" i="7"/>
  <c r="O104" i="7"/>
  <c r="O103" i="7"/>
  <c r="O86" i="7"/>
  <c r="O85" i="7"/>
  <c r="O84" i="7"/>
  <c r="O83" i="7"/>
  <c r="O67" i="7"/>
  <c r="C87" i="20" l="1"/>
  <c r="E91" i="20"/>
  <c r="D91" i="20"/>
  <c r="C91" i="20"/>
  <c r="B91" i="20"/>
  <c r="E90" i="20"/>
  <c r="D90" i="20"/>
  <c r="C90" i="20"/>
  <c r="B90" i="20"/>
  <c r="E89" i="20"/>
  <c r="D89" i="20"/>
  <c r="C89" i="20"/>
  <c r="B89" i="20"/>
  <c r="E88" i="20"/>
  <c r="D88" i="20"/>
  <c r="C88" i="20"/>
  <c r="B88" i="20"/>
  <c r="E87" i="20"/>
  <c r="D87" i="20"/>
  <c r="B87" i="20"/>
  <c r="E86" i="20"/>
  <c r="D86" i="20"/>
  <c r="C86" i="20"/>
  <c r="B86" i="20"/>
  <c r="E84" i="20"/>
  <c r="D84" i="20"/>
  <c r="C84" i="20"/>
  <c r="B84" i="20"/>
  <c r="E83" i="20"/>
  <c r="D83" i="20"/>
  <c r="C83" i="20"/>
  <c r="B83" i="20"/>
  <c r="E82" i="20"/>
  <c r="D82" i="20"/>
  <c r="C82" i="20"/>
  <c r="B82" i="20"/>
  <c r="E81" i="20"/>
  <c r="D81" i="20"/>
  <c r="C81" i="20"/>
  <c r="B81" i="20"/>
  <c r="E80" i="20"/>
  <c r="D80" i="20"/>
  <c r="C80" i="20"/>
  <c r="B80" i="20"/>
  <c r="E79" i="20"/>
  <c r="D79" i="20"/>
  <c r="C79" i="20"/>
  <c r="B79" i="20"/>
  <c r="E77" i="20"/>
  <c r="D77" i="20"/>
  <c r="C77" i="20"/>
  <c r="B77" i="20"/>
  <c r="E76" i="20"/>
  <c r="D76" i="20"/>
  <c r="C76" i="20"/>
  <c r="B76" i="20"/>
  <c r="E73" i="20"/>
  <c r="D73" i="20"/>
  <c r="C73" i="20"/>
  <c r="B73" i="20"/>
  <c r="E72" i="20"/>
  <c r="D72" i="20"/>
  <c r="C72" i="20"/>
  <c r="B72" i="20"/>
  <c r="E71" i="20"/>
  <c r="D71" i="20"/>
  <c r="C71" i="20"/>
  <c r="B71" i="20"/>
  <c r="E70" i="20"/>
  <c r="D70" i="20"/>
  <c r="C70" i="20"/>
  <c r="B70" i="20"/>
  <c r="E69" i="20"/>
  <c r="D69" i="20"/>
  <c r="C69" i="20"/>
  <c r="B69" i="20"/>
  <c r="E64" i="20"/>
  <c r="D64" i="20"/>
  <c r="C64" i="20"/>
  <c r="B64" i="20"/>
  <c r="E63" i="20"/>
  <c r="D63" i="20"/>
  <c r="C63" i="20"/>
  <c r="B63" i="20"/>
  <c r="E62" i="20"/>
  <c r="D62" i="20"/>
  <c r="C62" i="20"/>
  <c r="B62" i="20"/>
  <c r="E61" i="20"/>
  <c r="D61" i="20"/>
  <c r="C61" i="20"/>
  <c r="B61" i="20"/>
  <c r="E58" i="20"/>
  <c r="D58" i="20"/>
  <c r="C58" i="20"/>
  <c r="B58" i="20"/>
  <c r="E57" i="20"/>
  <c r="D57" i="20"/>
  <c r="C57" i="20"/>
  <c r="B57" i="20"/>
  <c r="E56" i="20"/>
  <c r="D56" i="20"/>
  <c r="C56" i="20"/>
  <c r="B56" i="20"/>
  <c r="E55" i="20"/>
  <c r="D55" i="20"/>
  <c r="C55" i="20"/>
  <c r="B55" i="20"/>
  <c r="E54" i="20"/>
  <c r="D54" i="20"/>
  <c r="C54" i="20"/>
  <c r="B54" i="20"/>
  <c r="E52" i="20"/>
  <c r="D52" i="20"/>
  <c r="C52" i="20"/>
  <c r="B52" i="20"/>
  <c r="E50" i="20"/>
  <c r="D50" i="20"/>
  <c r="C50" i="20"/>
  <c r="B50" i="20"/>
  <c r="E49" i="20"/>
  <c r="D49" i="20"/>
  <c r="C49" i="20"/>
  <c r="B49" i="20"/>
  <c r="E48" i="20"/>
  <c r="D48" i="20"/>
  <c r="C48" i="20"/>
  <c r="B48" i="20"/>
  <c r="E38" i="20"/>
  <c r="D38" i="20"/>
  <c r="C38" i="20"/>
  <c r="B38" i="20"/>
  <c r="E35" i="20"/>
  <c r="D35" i="20"/>
  <c r="C35" i="20"/>
  <c r="B35" i="20"/>
  <c r="E34" i="20"/>
  <c r="D34" i="20"/>
  <c r="C34" i="20"/>
  <c r="B34" i="20"/>
  <c r="E33" i="20"/>
  <c r="D33" i="20"/>
  <c r="C33" i="20"/>
  <c r="B33" i="20"/>
  <c r="E32" i="20"/>
  <c r="D32" i="20"/>
  <c r="C32" i="20"/>
  <c r="B32" i="20"/>
  <c r="E31" i="20"/>
  <c r="D31" i="20"/>
  <c r="C31" i="20"/>
  <c r="B31" i="20"/>
  <c r="E28" i="20"/>
  <c r="D28" i="20"/>
  <c r="C28" i="20"/>
  <c r="B28" i="20"/>
  <c r="E27" i="20"/>
  <c r="D27" i="20"/>
  <c r="C27" i="20"/>
  <c r="B27" i="20"/>
  <c r="E26" i="20"/>
  <c r="D26" i="20"/>
  <c r="C26" i="20"/>
  <c r="B26" i="20"/>
  <c r="E25" i="20"/>
  <c r="D25" i="20"/>
  <c r="C25" i="20"/>
  <c r="B25" i="20"/>
  <c r="E22" i="20"/>
  <c r="D22" i="20"/>
  <c r="C22" i="20"/>
  <c r="B22" i="20"/>
  <c r="E21" i="20"/>
  <c r="D21" i="20"/>
  <c r="C21" i="20"/>
  <c r="B21" i="20"/>
  <c r="E20" i="20"/>
  <c r="D20" i="20"/>
  <c r="C20" i="20"/>
  <c r="B20" i="20"/>
  <c r="E19" i="20"/>
  <c r="D19" i="20"/>
  <c r="C19" i="20"/>
  <c r="B19" i="20"/>
  <c r="E18" i="20"/>
  <c r="D18" i="20"/>
  <c r="C18" i="20"/>
  <c r="B18" i="20"/>
  <c r="E15" i="20"/>
  <c r="D15" i="20"/>
  <c r="C15" i="20"/>
  <c r="B15" i="20"/>
  <c r="E14" i="20"/>
  <c r="D14" i="20"/>
  <c r="C14" i="20"/>
  <c r="B14" i="20"/>
  <c r="E13" i="20"/>
  <c r="D13" i="20"/>
  <c r="C13" i="20"/>
  <c r="B13" i="20"/>
  <c r="E12" i="20"/>
  <c r="D12" i="20"/>
  <c r="C12" i="20"/>
  <c r="B12" i="20"/>
  <c r="E11" i="20"/>
  <c r="D11" i="20"/>
  <c r="C11" i="20"/>
  <c r="B11" i="20"/>
  <c r="E10" i="20"/>
  <c r="D10" i="20"/>
  <c r="C10" i="20"/>
  <c r="B10" i="20"/>
  <c r="E7" i="20"/>
  <c r="D7" i="20"/>
  <c r="C7" i="20"/>
  <c r="B7" i="20"/>
  <c r="E6" i="20"/>
  <c r="D6" i="20"/>
  <c r="C6" i="20"/>
  <c r="B6" i="20"/>
  <c r="E5" i="20"/>
  <c r="D5" i="20"/>
  <c r="C5" i="20"/>
  <c r="B5" i="20"/>
  <c r="F31" i="23" l="1"/>
  <c r="F23" i="23" l="1"/>
  <c r="F32" i="23" s="1"/>
  <c r="J208" i="1" l="1"/>
  <c r="J207" i="1"/>
  <c r="J206" i="1"/>
  <c r="J205" i="1"/>
  <c r="J204" i="1"/>
  <c r="J203" i="1"/>
  <c r="J202" i="1"/>
  <c r="J201" i="1"/>
  <c r="J200" i="1"/>
  <c r="J199" i="1"/>
  <c r="N19" i="13" l="1"/>
  <c r="N16" i="13"/>
  <c r="N14" i="13"/>
  <c r="M14" i="13"/>
  <c r="L14" i="13"/>
  <c r="K19" i="13"/>
  <c r="K16" i="13"/>
  <c r="K14" i="13"/>
  <c r="J14" i="13"/>
  <c r="I14" i="13"/>
  <c r="H19" i="13"/>
  <c r="H16" i="13"/>
  <c r="H14" i="13"/>
  <c r="H25" i="13" s="1"/>
  <c r="G14" i="13"/>
  <c r="G25" i="13" s="1"/>
  <c r="F14" i="13"/>
  <c r="F25" i="13" s="1"/>
  <c r="E31" i="23"/>
  <c r="D31" i="23"/>
  <c r="B31" i="23"/>
  <c r="E23" i="23"/>
  <c r="D23" i="23"/>
  <c r="C23" i="23"/>
  <c r="B23" i="23"/>
  <c r="F33" i="23"/>
  <c r="M16" i="13"/>
  <c r="L16" i="13"/>
  <c r="J16" i="13"/>
  <c r="I16" i="13"/>
  <c r="G16" i="13"/>
  <c r="F16" i="13"/>
  <c r="D32" i="23" l="1"/>
  <c r="E32" i="23"/>
  <c r="B32" i="23"/>
  <c r="H27" i="13"/>
  <c r="C31" i="23"/>
  <c r="C32" i="23" s="1"/>
  <c r="C33" i="23" l="1"/>
  <c r="B33" i="23"/>
  <c r="D33" i="23"/>
  <c r="E33" i="23"/>
  <c r="I27" i="13" l="1"/>
  <c r="G39" i="1" l="1"/>
  <c r="F39" i="1"/>
  <c r="E39" i="1"/>
  <c r="G38" i="1"/>
  <c r="F38" i="1"/>
  <c r="E38" i="1"/>
  <c r="G37" i="1"/>
  <c r="F37" i="1"/>
  <c r="E37" i="1"/>
  <c r="F36" i="1"/>
  <c r="G36" i="1" s="1"/>
  <c r="E36" i="1"/>
  <c r="F35" i="1"/>
  <c r="G35" i="1" s="1"/>
  <c r="E35" i="1"/>
  <c r="F34" i="1"/>
  <c r="G34" i="1" s="1"/>
  <c r="E34" i="1"/>
  <c r="F33" i="1"/>
  <c r="G33" i="1" s="1"/>
  <c r="M21" i="1" s="1"/>
  <c r="E33" i="1"/>
  <c r="F32" i="1"/>
  <c r="G32" i="1" s="1"/>
  <c r="E32" i="1"/>
  <c r="F31" i="1"/>
  <c r="G31" i="1" s="1"/>
  <c r="E31" i="1"/>
  <c r="F30" i="1"/>
  <c r="E30" i="1"/>
  <c r="M27" i="1"/>
  <c r="M26" i="1"/>
  <c r="M25" i="1"/>
  <c r="M24" i="1" l="1"/>
  <c r="M23" i="1"/>
  <c r="M22" i="1"/>
  <c r="B49" i="23"/>
  <c r="C46" i="23"/>
  <c r="D46" i="23" s="1"/>
  <c r="E46" i="23" s="1"/>
  <c r="F46" i="23" s="1"/>
  <c r="M20" i="1"/>
  <c r="G30" i="1"/>
  <c r="M18" i="1" s="1"/>
  <c r="M19" i="1"/>
  <c r="B51" i="23" l="1"/>
  <c r="AQ107" i="8"/>
  <c r="AO107" i="8"/>
  <c r="AM107" i="8"/>
  <c r="AK107" i="8"/>
  <c r="AP106" i="8"/>
  <c r="AN106" i="8"/>
  <c r="AL106" i="8"/>
  <c r="AJ106" i="8"/>
  <c r="AI106" i="8"/>
  <c r="AP105" i="8"/>
  <c r="AN105" i="8"/>
  <c r="AL105" i="8"/>
  <c r="AJ105" i="8"/>
  <c r="AI105" i="8"/>
  <c r="AP104" i="8"/>
  <c r="AN104" i="8"/>
  <c r="AL104" i="8"/>
  <c r="AJ104" i="8"/>
  <c r="AI104" i="8"/>
  <c r="AP103" i="8"/>
  <c r="AN103" i="8"/>
  <c r="AL103" i="8"/>
  <c r="AJ103" i="8"/>
  <c r="AI103" i="8"/>
  <c r="AP102" i="8"/>
  <c r="AN102" i="8"/>
  <c r="AL102" i="8"/>
  <c r="AJ102" i="8"/>
  <c r="AI102" i="8"/>
  <c r="AP101" i="8"/>
  <c r="AN101" i="8"/>
  <c r="AL101" i="8"/>
  <c r="AJ101" i="8"/>
  <c r="AI101" i="8"/>
  <c r="AP100" i="8"/>
  <c r="AN100" i="8"/>
  <c r="AL100" i="8"/>
  <c r="AJ100" i="8"/>
  <c r="AI100" i="8"/>
  <c r="AP99" i="8"/>
  <c r="AN99" i="8"/>
  <c r="AL99" i="8"/>
  <c r="AJ99" i="8"/>
  <c r="AI99" i="8"/>
  <c r="AP98" i="8"/>
  <c r="AN98" i="8"/>
  <c r="AL98" i="8"/>
  <c r="AJ98" i="8"/>
  <c r="AI98" i="8"/>
  <c r="AP97" i="8"/>
  <c r="AN97" i="8"/>
  <c r="AL97" i="8"/>
  <c r="AJ97" i="8"/>
  <c r="AI97" i="8"/>
  <c r="AP96" i="8"/>
  <c r="AN96" i="8"/>
  <c r="AL96" i="8"/>
  <c r="AJ96" i="8"/>
  <c r="AI96" i="8"/>
  <c r="AP95" i="8"/>
  <c r="AN95" i="8"/>
  <c r="AL95" i="8"/>
  <c r="AJ95" i="8"/>
  <c r="AI95" i="8"/>
  <c r="AP94" i="8"/>
  <c r="AN94" i="8"/>
  <c r="AL94" i="8"/>
  <c r="AJ94" i="8"/>
  <c r="AI94" i="8"/>
  <c r="AP93" i="8"/>
  <c r="AN93" i="8"/>
  <c r="AL93" i="8"/>
  <c r="AJ93" i="8"/>
  <c r="AI93" i="8"/>
  <c r="AP92" i="8"/>
  <c r="AN92" i="8"/>
  <c r="AL92" i="8"/>
  <c r="AJ92" i="8"/>
  <c r="AI92" i="8"/>
  <c r="AP91" i="8"/>
  <c r="AN91" i="8"/>
  <c r="AL91" i="8"/>
  <c r="AJ91" i="8"/>
  <c r="AI91" i="8"/>
  <c r="AP90" i="8"/>
  <c r="AN90" i="8"/>
  <c r="AL90" i="8"/>
  <c r="AJ90" i="8"/>
  <c r="AI90" i="8"/>
  <c r="AP89" i="8"/>
  <c r="AN89" i="8"/>
  <c r="AL89" i="8"/>
  <c r="AJ89" i="8"/>
  <c r="AI89" i="8"/>
  <c r="AP88" i="8"/>
  <c r="AN88" i="8"/>
  <c r="AL88" i="8"/>
  <c r="AJ88" i="8"/>
  <c r="AI88" i="8"/>
  <c r="AP87" i="8"/>
  <c r="AN87" i="8"/>
  <c r="AL87" i="8"/>
  <c r="AJ87" i="8"/>
  <c r="AI87" i="8"/>
  <c r="AP86" i="8"/>
  <c r="AN86" i="8"/>
  <c r="AL86" i="8"/>
  <c r="AJ86" i="8"/>
  <c r="AI86" i="8"/>
  <c r="AP85" i="8"/>
  <c r="AN85" i="8"/>
  <c r="AL85" i="8"/>
  <c r="AJ85" i="8"/>
  <c r="AI85" i="8"/>
  <c r="AP84" i="8"/>
  <c r="AN84" i="8"/>
  <c r="AL84" i="8"/>
  <c r="AJ84" i="8"/>
  <c r="AI84" i="8"/>
  <c r="AP83" i="8"/>
  <c r="AN83" i="8"/>
  <c r="AL83" i="8"/>
  <c r="AJ83" i="8"/>
  <c r="AI83" i="8"/>
  <c r="AP82" i="8"/>
  <c r="AN82" i="8"/>
  <c r="AL82" i="8"/>
  <c r="AJ82" i="8"/>
  <c r="AI82" i="8"/>
  <c r="AP81" i="8"/>
  <c r="AN81" i="8"/>
  <c r="AL81" i="8"/>
  <c r="AJ81" i="8"/>
  <c r="AI81" i="8"/>
  <c r="AP80" i="8"/>
  <c r="AN80" i="8"/>
  <c r="AL80" i="8"/>
  <c r="AJ80" i="8"/>
  <c r="AI80" i="8"/>
  <c r="AP79" i="8"/>
  <c r="AN79" i="8"/>
  <c r="AL79" i="8"/>
  <c r="AJ79" i="8"/>
  <c r="AI79" i="8"/>
  <c r="AP78" i="8"/>
  <c r="AN78" i="8"/>
  <c r="AL78" i="8"/>
  <c r="AJ78" i="8"/>
  <c r="AI78" i="8"/>
  <c r="AP77" i="8"/>
  <c r="AN77" i="8"/>
  <c r="AL77" i="8"/>
  <c r="AJ77" i="8"/>
  <c r="AI77" i="8"/>
  <c r="AP76" i="8"/>
  <c r="AN76" i="8"/>
  <c r="AL76" i="8"/>
  <c r="AJ76" i="8"/>
  <c r="AI76" i="8"/>
  <c r="AP75" i="8"/>
  <c r="AN75" i="8"/>
  <c r="AL75" i="8"/>
  <c r="AJ75" i="8"/>
  <c r="AI75" i="8"/>
  <c r="AP74" i="8"/>
  <c r="AN74" i="8"/>
  <c r="AL74" i="8"/>
  <c r="AJ74" i="8"/>
  <c r="AI74" i="8"/>
  <c r="AP73" i="8"/>
  <c r="AN73" i="8"/>
  <c r="AL73" i="8"/>
  <c r="AJ73" i="8"/>
  <c r="AI73" i="8"/>
  <c r="AP72" i="8"/>
  <c r="AN72" i="8"/>
  <c r="AL72" i="8"/>
  <c r="AJ72" i="8"/>
  <c r="AI72" i="8"/>
  <c r="AP71" i="8"/>
  <c r="AN71" i="8"/>
  <c r="AL71" i="8"/>
  <c r="AJ71" i="8"/>
  <c r="AI71" i="8"/>
  <c r="AP70" i="8"/>
  <c r="AN70" i="8"/>
  <c r="AL70" i="8"/>
  <c r="AJ70" i="8"/>
  <c r="AI70" i="8"/>
  <c r="AP69" i="8"/>
  <c r="AN69" i="8"/>
  <c r="AL69" i="8"/>
  <c r="AJ69" i="8"/>
  <c r="AI69" i="8"/>
  <c r="AP68" i="8"/>
  <c r="AN68" i="8"/>
  <c r="AL68" i="8"/>
  <c r="AJ68" i="8"/>
  <c r="AI68" i="8"/>
  <c r="AP67" i="8"/>
  <c r="AN67" i="8"/>
  <c r="AL67" i="8"/>
  <c r="AJ67" i="8"/>
  <c r="AI67" i="8"/>
  <c r="AP66" i="8"/>
  <c r="AN66" i="8"/>
  <c r="AL66" i="8"/>
  <c r="AJ66" i="8"/>
  <c r="AI66" i="8"/>
  <c r="AP65" i="8"/>
  <c r="AN65" i="8"/>
  <c r="AL65" i="8"/>
  <c r="AJ65" i="8"/>
  <c r="AI65" i="8"/>
  <c r="AP64" i="8"/>
  <c r="AN64" i="8"/>
  <c r="AL64" i="8"/>
  <c r="AJ64" i="8"/>
  <c r="AI64" i="8"/>
  <c r="AP63" i="8"/>
  <c r="AN63" i="8"/>
  <c r="AL63" i="8"/>
  <c r="AJ63" i="8"/>
  <c r="AI63" i="8"/>
  <c r="AP62" i="8"/>
  <c r="AN62" i="8"/>
  <c r="AL62" i="8"/>
  <c r="AJ62" i="8"/>
  <c r="AI62" i="8"/>
  <c r="AP61" i="8"/>
  <c r="AN61" i="8"/>
  <c r="AL61" i="8"/>
  <c r="AJ61" i="8"/>
  <c r="AI61" i="8"/>
  <c r="AP60" i="8"/>
  <c r="AN60" i="8"/>
  <c r="AL60" i="8"/>
  <c r="AJ60" i="8"/>
  <c r="AI60" i="8"/>
  <c r="AP59" i="8"/>
  <c r="AN59" i="8"/>
  <c r="AL59" i="8"/>
  <c r="AJ59" i="8"/>
  <c r="AI59" i="8"/>
  <c r="AP58" i="8"/>
  <c r="AN58" i="8"/>
  <c r="AL58" i="8"/>
  <c r="AJ58" i="8"/>
  <c r="AI58" i="8"/>
  <c r="AP57" i="8"/>
  <c r="AN57" i="8"/>
  <c r="AL57" i="8"/>
  <c r="AJ57" i="8"/>
  <c r="AI57" i="8"/>
  <c r="AP56" i="8"/>
  <c r="AN56" i="8"/>
  <c r="AL56" i="8"/>
  <c r="AJ56" i="8"/>
  <c r="AI56" i="8"/>
  <c r="AP55" i="8"/>
  <c r="AN55" i="8"/>
  <c r="AL55" i="8"/>
  <c r="AJ55" i="8"/>
  <c r="AI55" i="8"/>
  <c r="AP54" i="8"/>
  <c r="AN54" i="8"/>
  <c r="AL54" i="8"/>
  <c r="AJ54" i="8"/>
  <c r="AI54" i="8"/>
  <c r="AP53" i="8"/>
  <c r="AN53" i="8"/>
  <c r="AL53" i="8"/>
  <c r="AJ53" i="8"/>
  <c r="AI53" i="8"/>
  <c r="AP52" i="8"/>
  <c r="AN52" i="8"/>
  <c r="AL52" i="8"/>
  <c r="AJ52" i="8"/>
  <c r="AI52" i="8"/>
  <c r="AP51" i="8"/>
  <c r="AN51" i="8"/>
  <c r="AL51" i="8"/>
  <c r="AJ51" i="8"/>
  <c r="AI51" i="8"/>
  <c r="AP50" i="8"/>
  <c r="AN50" i="8"/>
  <c r="AL50" i="8"/>
  <c r="AJ50" i="8"/>
  <c r="AI50" i="8"/>
  <c r="AP49" i="8"/>
  <c r="AN49" i="8"/>
  <c r="AL49" i="8"/>
  <c r="AJ49" i="8"/>
  <c r="AI49" i="8"/>
  <c r="AP48" i="8"/>
  <c r="AN48" i="8"/>
  <c r="AL48" i="8"/>
  <c r="AJ48" i="8"/>
  <c r="AI48" i="8"/>
  <c r="AP47" i="8"/>
  <c r="AN47" i="8"/>
  <c r="AL47" i="8"/>
  <c r="AJ47" i="8"/>
  <c r="AI47" i="8"/>
  <c r="AP46" i="8"/>
  <c r="AN46" i="8"/>
  <c r="AL46" i="8"/>
  <c r="AJ46" i="8"/>
  <c r="AI46" i="8"/>
  <c r="AP45" i="8"/>
  <c r="AN45" i="8"/>
  <c r="AL45" i="8"/>
  <c r="AJ45" i="8"/>
  <c r="AI45" i="8"/>
  <c r="AP44" i="8"/>
  <c r="AN44" i="8"/>
  <c r="AL44" i="8"/>
  <c r="AJ44" i="8"/>
  <c r="AI44" i="8"/>
  <c r="AP43" i="8"/>
  <c r="AN43" i="8"/>
  <c r="AL43" i="8"/>
  <c r="AJ43" i="8"/>
  <c r="AI43" i="8"/>
  <c r="AP42" i="8"/>
  <c r="AN42" i="8"/>
  <c r="AL42" i="8"/>
  <c r="AJ42" i="8"/>
  <c r="AI42" i="8"/>
  <c r="AP41" i="8"/>
  <c r="AN41" i="8"/>
  <c r="AL41" i="8"/>
  <c r="AJ41" i="8"/>
  <c r="AI41" i="8"/>
  <c r="AP40" i="8"/>
  <c r="AN40" i="8"/>
  <c r="AL40" i="8"/>
  <c r="AJ40" i="8"/>
  <c r="AI40" i="8"/>
  <c r="AP39" i="8"/>
  <c r="AN39" i="8"/>
  <c r="AL39" i="8"/>
  <c r="AJ39" i="8"/>
  <c r="AI39" i="8"/>
  <c r="AP38" i="8"/>
  <c r="AN38" i="8"/>
  <c r="AL38" i="8"/>
  <c r="AJ38" i="8"/>
  <c r="AI38" i="8"/>
  <c r="AP37" i="8"/>
  <c r="AN37" i="8"/>
  <c r="AL37" i="8"/>
  <c r="AJ37" i="8"/>
  <c r="AI37" i="8"/>
  <c r="AP36" i="8"/>
  <c r="AN36" i="8"/>
  <c r="AL36" i="8"/>
  <c r="AP35" i="8"/>
  <c r="AN35" i="8"/>
  <c r="AL35" i="8"/>
  <c r="AJ35" i="8"/>
  <c r="AI35" i="8"/>
  <c r="AP34" i="8"/>
  <c r="AN34" i="8"/>
  <c r="AL34" i="8"/>
  <c r="AJ34" i="8"/>
  <c r="AI34" i="8"/>
  <c r="AP33" i="8"/>
  <c r="AN33" i="8"/>
  <c r="AL33" i="8"/>
  <c r="AJ33" i="8"/>
  <c r="AI33" i="8"/>
  <c r="AP32" i="8"/>
  <c r="AN32" i="8"/>
  <c r="AL32" i="8"/>
  <c r="AJ32" i="8"/>
  <c r="AI32"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S35" i="8" s="1"/>
  <c r="R34" i="8"/>
  <c r="R33" i="8"/>
  <c r="R32" i="8"/>
  <c r="AM96" i="8" l="1"/>
  <c r="AO32" i="8"/>
  <c r="AM33" i="8"/>
  <c r="AQ34" i="8"/>
  <c r="AO35" i="8"/>
  <c r="AM36" i="8"/>
  <c r="AK37" i="8"/>
  <c r="AQ38" i="8"/>
  <c r="AO39" i="8"/>
  <c r="AM40" i="8"/>
  <c r="AK41" i="8"/>
  <c r="AQ42" i="8"/>
  <c r="AO43" i="8"/>
  <c r="AM44" i="8"/>
  <c r="AK45" i="8"/>
  <c r="AQ46" i="8"/>
  <c r="AO47" i="8"/>
  <c r="AM48" i="8"/>
  <c r="AK49" i="8"/>
  <c r="AQ50" i="8"/>
  <c r="AO51" i="8"/>
  <c r="AM52" i="8"/>
  <c r="AK53" i="8"/>
  <c r="AQ54" i="8"/>
  <c r="AO55" i="8"/>
  <c r="AM56" i="8"/>
  <c r="AK57" i="8"/>
  <c r="AQ58" i="8"/>
  <c r="AO59" i="8"/>
  <c r="AM60" i="8"/>
  <c r="AK61" i="8"/>
  <c r="AQ62" i="8"/>
  <c r="AO63" i="8"/>
  <c r="AM64" i="8"/>
  <c r="AK65" i="8"/>
  <c r="AQ66" i="8"/>
  <c r="AO67" i="8"/>
  <c r="AM68" i="8"/>
  <c r="AK69" i="8"/>
  <c r="AQ70" i="8"/>
  <c r="AO71" i="8"/>
  <c r="AM72" i="8"/>
  <c r="AK73" i="8"/>
  <c r="AQ74" i="8"/>
  <c r="AO75" i="8"/>
  <c r="AM76" i="8"/>
  <c r="AK77" i="8"/>
  <c r="AQ78" i="8"/>
  <c r="AO79" i="8"/>
  <c r="AM80" i="8"/>
  <c r="AK81" i="8"/>
  <c r="AQ82" i="8"/>
  <c r="AO83" i="8"/>
  <c r="AM84" i="8"/>
  <c r="AK85" i="8"/>
  <c r="AQ86" i="8"/>
  <c r="AO87" i="8"/>
  <c r="AM88" i="8"/>
  <c r="AK89" i="8"/>
  <c r="AQ90" i="8"/>
  <c r="AO91" i="8"/>
  <c r="AM92" i="8"/>
  <c r="AK93" i="8"/>
  <c r="AQ94" i="8"/>
  <c r="AO95" i="8"/>
  <c r="AK97" i="8"/>
  <c r="AQ98" i="8"/>
  <c r="AO99" i="8"/>
  <c r="AM100" i="8"/>
  <c r="AK101" i="8"/>
  <c r="AQ102" i="8"/>
  <c r="AO103" i="8"/>
  <c r="AM104" i="8"/>
  <c r="AK105" i="8"/>
  <c r="AQ106" i="8"/>
  <c r="AO56" i="8"/>
  <c r="AO72" i="8"/>
  <c r="AK74" i="8"/>
  <c r="AO76" i="8"/>
  <c r="AK78" i="8"/>
  <c r="AO80" i="8"/>
  <c r="AK82" i="8"/>
  <c r="AO84" i="8"/>
  <c r="AK86" i="8"/>
  <c r="AO88" i="8"/>
  <c r="AK90" i="8"/>
  <c r="AO92" i="8"/>
  <c r="AK94" i="8"/>
  <c r="AO96" i="8"/>
  <c r="AK98" i="8"/>
  <c r="AO100" i="8"/>
  <c r="AK102" i="8"/>
  <c r="AO104" i="8"/>
  <c r="AK106" i="8"/>
  <c r="AK80" i="8"/>
  <c r="AK96" i="8"/>
  <c r="AK32" i="8"/>
  <c r="AQ33" i="8"/>
  <c r="AM34" i="8"/>
  <c r="AO37" i="8"/>
  <c r="AK39" i="8"/>
  <c r="AQ40" i="8"/>
  <c r="AK43" i="8"/>
  <c r="AQ44" i="8"/>
  <c r="AM46" i="8"/>
  <c r="AO49" i="8"/>
  <c r="AK51" i="8"/>
  <c r="AO53" i="8"/>
  <c r="AK55" i="8"/>
  <c r="AQ56" i="8"/>
  <c r="AM58" i="8"/>
  <c r="AO61" i="8"/>
  <c r="AM62" i="8"/>
  <c r="AK63" i="8"/>
  <c r="AQ64" i="8"/>
  <c r="AM66" i="8"/>
  <c r="AO69" i="8"/>
  <c r="AK71" i="8"/>
  <c r="AQ72" i="8"/>
  <c r="AM74" i="8"/>
  <c r="AO77" i="8"/>
  <c r="AO81" i="8"/>
  <c r="AK83" i="8"/>
  <c r="AQ84" i="8"/>
  <c r="AM86" i="8"/>
  <c r="AQ88" i="8"/>
  <c r="AM90" i="8"/>
  <c r="AO93" i="8"/>
  <c r="AM94" i="8"/>
  <c r="AQ96" i="8"/>
  <c r="AO97" i="8"/>
  <c r="AM98" i="8"/>
  <c r="AK99" i="8"/>
  <c r="AQ100" i="8"/>
  <c r="AO101" i="8"/>
  <c r="AM102" i="8"/>
  <c r="AK103" i="8"/>
  <c r="AQ104" i="8"/>
  <c r="AO105" i="8"/>
  <c r="AM106" i="8"/>
  <c r="AK35" i="8"/>
  <c r="AQ36" i="8"/>
  <c r="AM38" i="8"/>
  <c r="AO41" i="8"/>
  <c r="AM42" i="8"/>
  <c r="AO45" i="8"/>
  <c r="AK47" i="8"/>
  <c r="AQ48" i="8"/>
  <c r="AM50" i="8"/>
  <c r="AQ52" i="8"/>
  <c r="AM54" i="8"/>
  <c r="AO57" i="8"/>
  <c r="AK59" i="8"/>
  <c r="AQ60" i="8"/>
  <c r="AO65" i="8"/>
  <c r="AK67" i="8"/>
  <c r="AQ68" i="8"/>
  <c r="AM70" i="8"/>
  <c r="AO73" i="8"/>
  <c r="AK75" i="8"/>
  <c r="AQ76" i="8"/>
  <c r="AM78" i="8"/>
  <c r="AK79" i="8"/>
  <c r="AQ80" i="8"/>
  <c r="AM82" i="8"/>
  <c r="AO85" i="8"/>
  <c r="AK87" i="8"/>
  <c r="AO89" i="8"/>
  <c r="AK91" i="8"/>
  <c r="AQ92" i="8"/>
  <c r="AK95" i="8"/>
  <c r="AK70" i="8"/>
  <c r="AM32" i="8"/>
  <c r="AK33" i="8"/>
  <c r="AM35" i="8"/>
  <c r="AM39" i="8"/>
  <c r="AK40" i="8"/>
  <c r="AM43" i="8"/>
  <c r="AK44" i="8"/>
  <c r="AM47" i="8"/>
  <c r="AK48" i="8"/>
  <c r="AM51" i="8"/>
  <c r="AK52" i="8"/>
  <c r="AM55" i="8"/>
  <c r="AK56" i="8"/>
  <c r="AM59" i="8"/>
  <c r="AK60" i="8"/>
  <c r="AM63" i="8"/>
  <c r="AK64" i="8"/>
  <c r="AM67" i="8"/>
  <c r="AK68" i="8"/>
  <c r="AM71" i="8"/>
  <c r="AK72" i="8"/>
  <c r="AK76" i="8"/>
  <c r="AK84" i="8"/>
  <c r="AK88" i="8"/>
  <c r="AK92" i="8"/>
  <c r="AK100" i="8"/>
  <c r="AK104" i="8"/>
  <c r="AO33" i="8"/>
  <c r="AK34" i="8"/>
  <c r="AO36" i="8"/>
  <c r="AK38" i="8"/>
  <c r="AK42" i="8"/>
  <c r="AO44" i="8"/>
  <c r="AK46" i="8"/>
  <c r="AO48" i="8"/>
  <c r="AK50" i="8"/>
  <c r="AO52" i="8"/>
  <c r="AK54" i="8"/>
  <c r="AK58" i="8"/>
  <c r="AO60" i="8"/>
  <c r="AK62" i="8"/>
  <c r="AO64" i="8"/>
  <c r="AK66" i="8"/>
  <c r="AO68" i="8"/>
  <c r="AO40" i="8"/>
  <c r="AO34" i="8"/>
  <c r="AQ37" i="8"/>
  <c r="AO38" i="8"/>
  <c r="AQ41" i="8"/>
  <c r="AO42" i="8"/>
  <c r="AQ45" i="8"/>
  <c r="AO46" i="8"/>
  <c r="AQ49" i="8"/>
  <c r="AO50" i="8"/>
  <c r="AQ53" i="8"/>
  <c r="AO54" i="8"/>
  <c r="AQ57" i="8"/>
  <c r="AO58" i="8"/>
  <c r="AQ61" i="8"/>
  <c r="AO62" i="8"/>
  <c r="AQ65" i="8"/>
  <c r="AO66" i="8"/>
  <c r="AQ69" i="8"/>
  <c r="AO70" i="8"/>
  <c r="AQ73" i="8"/>
  <c r="AO74" i="8"/>
  <c r="AM75" i="8"/>
  <c r="AQ77" i="8"/>
  <c r="AO78" i="8"/>
  <c r="AM79" i="8"/>
  <c r="AQ81" i="8"/>
  <c r="AO82" i="8"/>
  <c r="AM83" i="8"/>
  <c r="AQ85" i="8"/>
  <c r="AO86" i="8"/>
  <c r="AM87" i="8"/>
  <c r="AQ89" i="8"/>
  <c r="AO90" i="8"/>
  <c r="AM91" i="8"/>
  <c r="AQ93" i="8"/>
  <c r="AO94" i="8"/>
  <c r="AM95" i="8"/>
  <c r="AQ97" i="8"/>
  <c r="AO98" i="8"/>
  <c r="AM99" i="8"/>
  <c r="AQ101" i="8"/>
  <c r="AO102" i="8"/>
  <c r="AM103" i="8"/>
  <c r="AQ105" i="8"/>
  <c r="AO106" i="8"/>
  <c r="AQ32" i="8"/>
  <c r="AQ35" i="8"/>
  <c r="AM37" i="8"/>
  <c r="AQ39" i="8"/>
  <c r="AM41" i="8"/>
  <c r="AQ43" i="8"/>
  <c r="AM45" i="8"/>
  <c r="AQ47" i="8"/>
  <c r="AM49" i="8"/>
  <c r="AQ51" i="8"/>
  <c r="AM53" i="8"/>
  <c r="AQ55" i="8"/>
  <c r="AM57" i="8"/>
  <c r="AQ59" i="8"/>
  <c r="AM61" i="8"/>
  <c r="AQ63" i="8"/>
  <c r="AM65" i="8"/>
  <c r="AQ67" i="8"/>
  <c r="AM69" i="8"/>
  <c r="AQ71" i="8"/>
  <c r="AM73" i="8"/>
  <c r="AQ75" i="8"/>
  <c r="AM77" i="8"/>
  <c r="AQ79" i="8"/>
  <c r="AM81" i="8"/>
  <c r="AQ83" i="8"/>
  <c r="AM85" i="8"/>
  <c r="AQ87" i="8"/>
  <c r="AM89" i="8"/>
  <c r="AQ91" i="8"/>
  <c r="AM93" i="8"/>
  <c r="AQ95" i="8"/>
  <c r="AM97" i="8"/>
  <c r="AQ99" i="8"/>
  <c r="AM101" i="8"/>
  <c r="AQ103" i="8"/>
  <c r="AM105" i="8"/>
  <c r="D3" i="9"/>
  <c r="H65" i="13" l="1"/>
  <c r="F124" i="7" l="1"/>
  <c r="F123" i="7"/>
  <c r="F122" i="7"/>
  <c r="F121" i="7"/>
  <c r="F120" i="7"/>
  <c r="F119" i="7"/>
  <c r="F118" i="7"/>
  <c r="F117" i="7"/>
  <c r="F116" i="7"/>
  <c r="F115" i="7"/>
  <c r="F114" i="7"/>
  <c r="F113" i="7"/>
  <c r="F105" i="7"/>
  <c r="F104" i="7"/>
  <c r="F103" i="7"/>
  <c r="F86" i="7"/>
  <c r="F85" i="7"/>
  <c r="F84" i="7"/>
  <c r="F83" i="7"/>
  <c r="F67" i="7"/>
  <c r="E9" i="13" l="1"/>
  <c r="E8" i="13"/>
  <c r="H67" i="13"/>
  <c r="F126" i="7"/>
  <c r="F107" i="7"/>
  <c r="F88" i="7"/>
  <c r="F69" i="7"/>
  <c r="F50" i="7"/>
  <c r="M3" i="7"/>
  <c r="F125" i="7"/>
  <c r="D125" i="7"/>
  <c r="F106" i="7"/>
  <c r="D106" i="7"/>
  <c r="F87" i="7"/>
  <c r="D87" i="7"/>
  <c r="F68" i="7"/>
  <c r="D68" i="7"/>
  <c r="F49" i="7"/>
  <c r="D49" i="7"/>
  <c r="F127" i="7"/>
  <c r="F108" i="7"/>
  <c r="F89" i="7"/>
  <c r="F70" i="7"/>
  <c r="F51" i="7"/>
  <c r="H64" i="13" l="1"/>
  <c r="L3" i="7"/>
  <c r="H53" i="13"/>
  <c r="H52" i="13"/>
  <c r="H51" i="13"/>
  <c r="H50" i="13"/>
  <c r="H49" i="13"/>
  <c r="H47" i="13" l="1"/>
  <c r="J27" i="14" l="1"/>
  <c r="K27" i="14" s="1"/>
  <c r="J6" i="14"/>
  <c r="K6" i="14" s="1"/>
  <c r="J7" i="14"/>
  <c r="K7" i="14" s="1"/>
  <c r="J9" i="14"/>
  <c r="K9" i="14" s="1"/>
  <c r="J15" i="14"/>
  <c r="K15" i="14" s="1"/>
  <c r="I18" i="14"/>
  <c r="J142" i="16" l="1"/>
  <c r="G142" i="16"/>
  <c r="I91" i="18"/>
  <c r="H91" i="18"/>
  <c r="G91" i="18"/>
  <c r="I90" i="18"/>
  <c r="H90" i="18"/>
  <c r="G90" i="18"/>
  <c r="I89" i="18"/>
  <c r="H89" i="18"/>
  <c r="G89" i="18"/>
  <c r="I88" i="18"/>
  <c r="H88" i="18"/>
  <c r="G88" i="18"/>
  <c r="I87" i="18"/>
  <c r="H87" i="18"/>
  <c r="G87" i="18"/>
  <c r="I86" i="18"/>
  <c r="H86" i="18"/>
  <c r="G86" i="18"/>
  <c r="I84" i="18"/>
  <c r="H84" i="18"/>
  <c r="G84" i="18"/>
  <c r="I83" i="18"/>
  <c r="H83" i="18"/>
  <c r="G83" i="18"/>
  <c r="I82" i="18"/>
  <c r="H82" i="18"/>
  <c r="G82" i="18"/>
  <c r="I81" i="18"/>
  <c r="H81" i="18"/>
  <c r="G81" i="18"/>
  <c r="I80" i="18"/>
  <c r="H80" i="18"/>
  <c r="G80" i="18"/>
  <c r="I79" i="18"/>
  <c r="H79" i="18"/>
  <c r="G79" i="18"/>
  <c r="I77" i="18"/>
  <c r="H77" i="18"/>
  <c r="G77" i="18"/>
  <c r="I76" i="18"/>
  <c r="H76" i="18"/>
  <c r="G76" i="18"/>
  <c r="I73" i="18"/>
  <c r="H73" i="18"/>
  <c r="G73" i="18"/>
  <c r="I72" i="18"/>
  <c r="H72" i="18"/>
  <c r="G72" i="18"/>
  <c r="I71" i="18"/>
  <c r="H71" i="18"/>
  <c r="G71" i="18"/>
  <c r="I70" i="18"/>
  <c r="H70" i="18"/>
  <c r="G70" i="18"/>
  <c r="I69" i="18"/>
  <c r="H69" i="18"/>
  <c r="G69" i="18"/>
  <c r="I64" i="18"/>
  <c r="H64" i="18"/>
  <c r="G64" i="18"/>
  <c r="I63" i="18"/>
  <c r="H63" i="18"/>
  <c r="G63" i="18"/>
  <c r="I62" i="18"/>
  <c r="H62" i="18"/>
  <c r="G62" i="18"/>
  <c r="I61" i="18"/>
  <c r="H61" i="18"/>
  <c r="G61" i="18"/>
  <c r="I58" i="18"/>
  <c r="H58" i="18"/>
  <c r="G58" i="18"/>
  <c r="I57" i="18"/>
  <c r="H57" i="18"/>
  <c r="G57" i="18"/>
  <c r="I56" i="18"/>
  <c r="H56" i="18"/>
  <c r="G56" i="18"/>
  <c r="I55" i="18"/>
  <c r="H55" i="18"/>
  <c r="G55" i="18"/>
  <c r="I54" i="18"/>
  <c r="H54" i="18"/>
  <c r="G54" i="18"/>
  <c r="I52" i="18"/>
  <c r="H52" i="18"/>
  <c r="G52" i="18"/>
  <c r="I50" i="18"/>
  <c r="H50" i="18"/>
  <c r="G50" i="18"/>
  <c r="I49" i="18"/>
  <c r="H49" i="18"/>
  <c r="G49" i="18"/>
  <c r="I48" i="18"/>
  <c r="H48" i="18"/>
  <c r="G48" i="18"/>
  <c r="I43" i="18"/>
  <c r="H43" i="18"/>
  <c r="G43" i="18"/>
  <c r="H38" i="18"/>
  <c r="G38" i="18"/>
  <c r="I35" i="18"/>
  <c r="H35" i="18"/>
  <c r="G35" i="18"/>
  <c r="I34" i="18"/>
  <c r="H34" i="18"/>
  <c r="G34" i="18"/>
  <c r="I33" i="18"/>
  <c r="H33" i="18"/>
  <c r="G33" i="18"/>
  <c r="I32" i="18"/>
  <c r="H32" i="18"/>
  <c r="G32" i="18"/>
  <c r="I31" i="18"/>
  <c r="H31" i="18"/>
  <c r="G31" i="18"/>
  <c r="I28" i="18"/>
  <c r="H28" i="18"/>
  <c r="G28" i="18"/>
  <c r="I27" i="18"/>
  <c r="H27" i="18"/>
  <c r="G27" i="18"/>
  <c r="I26" i="18"/>
  <c r="H26" i="18"/>
  <c r="G26" i="18"/>
  <c r="I25" i="18"/>
  <c r="H25" i="18"/>
  <c r="G25" i="18"/>
  <c r="I22" i="18"/>
  <c r="H22" i="18"/>
  <c r="G22" i="18"/>
  <c r="I21" i="18"/>
  <c r="H21" i="18"/>
  <c r="G21" i="18"/>
  <c r="I20" i="18"/>
  <c r="H20" i="18"/>
  <c r="G20" i="18"/>
  <c r="I19" i="18"/>
  <c r="H19" i="18"/>
  <c r="G19" i="18"/>
  <c r="I18" i="18"/>
  <c r="H18" i="18"/>
  <c r="G18" i="18"/>
  <c r="I15" i="18"/>
  <c r="H15" i="18"/>
  <c r="G15" i="18"/>
  <c r="I14" i="18"/>
  <c r="H14" i="18"/>
  <c r="G14" i="18"/>
  <c r="I13" i="18"/>
  <c r="H13" i="18"/>
  <c r="G13" i="18"/>
  <c r="I12" i="18"/>
  <c r="H12" i="18"/>
  <c r="G12" i="18"/>
  <c r="I11" i="18"/>
  <c r="H11" i="18"/>
  <c r="G11" i="18"/>
  <c r="I10" i="18"/>
  <c r="H10" i="18"/>
  <c r="G10" i="18"/>
  <c r="I7" i="18"/>
  <c r="H7" i="18"/>
  <c r="G7" i="18"/>
  <c r="I6" i="18"/>
  <c r="H6" i="18"/>
  <c r="G6" i="18"/>
  <c r="I5" i="18"/>
  <c r="H5" i="18"/>
  <c r="I91" i="3" l="1"/>
  <c r="H91" i="3"/>
  <c r="G91" i="3"/>
  <c r="I90" i="3"/>
  <c r="H90" i="3"/>
  <c r="G90" i="3"/>
  <c r="I89" i="3"/>
  <c r="H89" i="3"/>
  <c r="G89" i="3"/>
  <c r="I88" i="3"/>
  <c r="H88" i="3"/>
  <c r="G88" i="3"/>
  <c r="I87" i="3"/>
  <c r="H87" i="3"/>
  <c r="G87" i="3"/>
  <c r="I86" i="3"/>
  <c r="H86" i="3"/>
  <c r="G86" i="3"/>
  <c r="I84" i="3"/>
  <c r="H84" i="3"/>
  <c r="G84" i="3"/>
  <c r="I83" i="3"/>
  <c r="H83" i="3"/>
  <c r="G83" i="3"/>
  <c r="I82" i="3"/>
  <c r="H82" i="3"/>
  <c r="G82" i="3"/>
  <c r="I81" i="3"/>
  <c r="H81" i="3"/>
  <c r="G81" i="3"/>
  <c r="I80" i="3"/>
  <c r="H80" i="3"/>
  <c r="G80" i="3"/>
  <c r="I79" i="3"/>
  <c r="H79" i="3"/>
  <c r="G79" i="3"/>
  <c r="I77" i="3"/>
  <c r="H77" i="3"/>
  <c r="G77" i="3"/>
  <c r="I76" i="3"/>
  <c r="H76" i="3"/>
  <c r="G76" i="3"/>
  <c r="I73" i="3"/>
  <c r="H73" i="3"/>
  <c r="G73" i="3"/>
  <c r="I72" i="3"/>
  <c r="H72" i="3"/>
  <c r="G72" i="3"/>
  <c r="I71" i="3"/>
  <c r="H71" i="3"/>
  <c r="G71" i="3"/>
  <c r="I70" i="3"/>
  <c r="H70" i="3"/>
  <c r="G70" i="3"/>
  <c r="I69" i="3"/>
  <c r="H69" i="3"/>
  <c r="G69" i="3"/>
  <c r="I64" i="3"/>
  <c r="H64" i="3"/>
  <c r="G64" i="3"/>
  <c r="I63" i="3"/>
  <c r="H63" i="3"/>
  <c r="G63" i="3"/>
  <c r="I62" i="3"/>
  <c r="H62" i="3"/>
  <c r="G62" i="3"/>
  <c r="I61" i="3"/>
  <c r="H61" i="3"/>
  <c r="G61" i="3"/>
  <c r="I58" i="3"/>
  <c r="H58" i="3"/>
  <c r="G58" i="3"/>
  <c r="I57" i="3"/>
  <c r="H57" i="3"/>
  <c r="G57" i="3"/>
  <c r="I56" i="3"/>
  <c r="H56" i="3"/>
  <c r="G56" i="3"/>
  <c r="I55" i="3"/>
  <c r="H55" i="3"/>
  <c r="G55" i="3"/>
  <c r="I54" i="3"/>
  <c r="H54" i="3"/>
  <c r="G54" i="3"/>
  <c r="I52" i="3"/>
  <c r="H52" i="3"/>
  <c r="G52" i="3"/>
  <c r="I50" i="3"/>
  <c r="H50" i="3"/>
  <c r="G50" i="3"/>
  <c r="I49" i="3"/>
  <c r="H49" i="3"/>
  <c r="G49" i="3"/>
  <c r="I48" i="3"/>
  <c r="H48" i="3"/>
  <c r="G48" i="3"/>
  <c r="I43" i="3"/>
  <c r="H43" i="3"/>
  <c r="G43" i="3"/>
  <c r="I38" i="3"/>
  <c r="H38" i="3"/>
  <c r="G38" i="3"/>
  <c r="I35" i="3"/>
  <c r="H35" i="3"/>
  <c r="G35" i="3"/>
  <c r="I34" i="3"/>
  <c r="H34" i="3"/>
  <c r="G34" i="3"/>
  <c r="I33" i="3"/>
  <c r="H33" i="3"/>
  <c r="G33" i="3"/>
  <c r="I32" i="3"/>
  <c r="H32" i="3"/>
  <c r="G32" i="3"/>
  <c r="I31" i="3"/>
  <c r="H31" i="3"/>
  <c r="G31" i="3"/>
  <c r="I28" i="3"/>
  <c r="H28" i="3"/>
  <c r="G28" i="3"/>
  <c r="I27" i="3"/>
  <c r="H27" i="3"/>
  <c r="G27" i="3"/>
  <c r="I26" i="3"/>
  <c r="H26" i="3"/>
  <c r="G26" i="3"/>
  <c r="I25" i="3"/>
  <c r="H25" i="3"/>
  <c r="G25" i="3"/>
  <c r="I22" i="3"/>
  <c r="H22" i="3"/>
  <c r="G22" i="3"/>
  <c r="I21" i="3"/>
  <c r="H21" i="3"/>
  <c r="G21" i="3"/>
  <c r="I20" i="3"/>
  <c r="H20" i="3"/>
  <c r="G20" i="3"/>
  <c r="I19" i="3"/>
  <c r="H19" i="3"/>
  <c r="G19" i="3"/>
  <c r="I18" i="3"/>
  <c r="H18" i="3"/>
  <c r="G18" i="3"/>
  <c r="I15" i="3"/>
  <c r="H15" i="3"/>
  <c r="G15" i="3"/>
  <c r="I14" i="3"/>
  <c r="H14" i="3"/>
  <c r="G14" i="3"/>
  <c r="I13" i="3"/>
  <c r="H13" i="3"/>
  <c r="G13" i="3"/>
  <c r="I12" i="3"/>
  <c r="H12" i="3"/>
  <c r="G12" i="3"/>
  <c r="I11" i="3"/>
  <c r="H11" i="3"/>
  <c r="G11" i="3"/>
  <c r="I10" i="3"/>
  <c r="H10" i="3"/>
  <c r="G10" i="3"/>
  <c r="I7" i="3"/>
  <c r="H7" i="3"/>
  <c r="G7" i="3"/>
  <c r="I6" i="3"/>
  <c r="H6" i="3"/>
  <c r="G6" i="3"/>
  <c r="I5" i="3"/>
  <c r="H5" i="3"/>
  <c r="G5" i="3"/>
  <c r="H48" i="13" l="1"/>
  <c r="K45" i="1"/>
  <c r="P43" i="1"/>
  <c r="T43" i="1" s="1"/>
  <c r="L41" i="1"/>
  <c r="N124" i="7"/>
  <c r="N123" i="7"/>
  <c r="N122" i="7"/>
  <c r="N121" i="7"/>
  <c r="N120" i="7"/>
  <c r="N119" i="7"/>
  <c r="N118" i="7"/>
  <c r="N117" i="7"/>
  <c r="N116" i="7"/>
  <c r="N115" i="7"/>
  <c r="N114" i="7"/>
  <c r="N113" i="7"/>
  <c r="N105" i="7"/>
  <c r="N104" i="7"/>
  <c r="N103" i="7"/>
  <c r="N86" i="7"/>
  <c r="N85" i="7"/>
  <c r="N84" i="7"/>
  <c r="N83" i="7"/>
  <c r="N67" i="7"/>
  <c r="M19" i="13"/>
  <c r="L19" i="13"/>
  <c r="J19" i="13"/>
  <c r="I19" i="13"/>
  <c r="G19" i="13"/>
  <c r="F19" i="13"/>
  <c r="I28" i="13" l="1"/>
  <c r="N51" i="7"/>
  <c r="N50" i="7"/>
  <c r="N70" i="7"/>
  <c r="N69" i="7"/>
  <c r="N89" i="7"/>
  <c r="N88" i="7"/>
  <c r="N108" i="7"/>
  <c r="N107" i="7"/>
  <c r="N127" i="7"/>
  <c r="N126" i="7"/>
  <c r="J5" i="14"/>
  <c r="K5" i="14" s="1"/>
  <c r="H46" i="13"/>
  <c r="G27" i="13"/>
  <c r="R10" i="7" s="1"/>
  <c r="F27" i="13"/>
  <c r="J11" i="14" l="1"/>
  <c r="K11" i="14" s="1"/>
  <c r="H54" i="13"/>
  <c r="B9" i="3"/>
  <c r="D32" i="9" l="1"/>
  <c r="D31" i="9"/>
  <c r="D30" i="9"/>
  <c r="D29" i="9"/>
  <c r="D28" i="9"/>
  <c r="D27" i="9"/>
  <c r="D26" i="9"/>
  <c r="D25" i="9"/>
  <c r="D24" i="9"/>
  <c r="D23" i="9"/>
  <c r="G15" i="13" l="1"/>
  <c r="E143" i="20"/>
  <c r="G81" i="20"/>
  <c r="D75" i="20"/>
  <c r="H76" i="20"/>
  <c r="B74" i="20"/>
  <c r="E59" i="20"/>
  <c r="H52" i="20"/>
  <c r="E51" i="20"/>
  <c r="E121" i="20"/>
  <c r="D121" i="20"/>
  <c r="E120" i="20"/>
  <c r="E118" i="20"/>
  <c r="D118" i="20"/>
  <c r="C118" i="20"/>
  <c r="C9" i="20"/>
  <c r="E127" i="20"/>
  <c r="C127" i="20"/>
  <c r="E144" i="20"/>
  <c r="I91" i="20"/>
  <c r="E46" i="20"/>
  <c r="E95" i="20" s="1"/>
  <c r="E115" i="20" s="1"/>
  <c r="D46" i="20"/>
  <c r="D95" i="20" s="1"/>
  <c r="D115" i="20" s="1"/>
  <c r="C46" i="20"/>
  <c r="C95" i="20" s="1"/>
  <c r="C115" i="20" s="1"/>
  <c r="B46" i="20"/>
  <c r="B95" i="20" s="1"/>
  <c r="B115" i="20" s="1"/>
  <c r="D4" i="20"/>
  <c r="H4" i="20" s="1"/>
  <c r="H47" i="20" s="1"/>
  <c r="H68" i="20" s="1"/>
  <c r="D4" i="19"/>
  <c r="D47" i="19" s="1"/>
  <c r="D68" i="19" s="1"/>
  <c r="D4" i="18"/>
  <c r="D47" i="18" s="1"/>
  <c r="D68" i="18" s="1"/>
  <c r="E144" i="19"/>
  <c r="D144" i="19"/>
  <c r="C144" i="19"/>
  <c r="E143" i="19"/>
  <c r="D143" i="19"/>
  <c r="C143" i="19"/>
  <c r="E139" i="19"/>
  <c r="D139" i="19"/>
  <c r="C139" i="19"/>
  <c r="E137" i="19"/>
  <c r="D137" i="19"/>
  <c r="C137" i="19"/>
  <c r="E136" i="19"/>
  <c r="D136" i="19"/>
  <c r="C136" i="19"/>
  <c r="E132" i="19"/>
  <c r="D132" i="19"/>
  <c r="C132" i="19"/>
  <c r="E131" i="19"/>
  <c r="D131" i="19"/>
  <c r="C131" i="19"/>
  <c r="E127" i="19"/>
  <c r="D127" i="19"/>
  <c r="C127" i="19"/>
  <c r="E124" i="19"/>
  <c r="D124" i="19"/>
  <c r="C124" i="19"/>
  <c r="E121" i="19"/>
  <c r="D121" i="19"/>
  <c r="C121" i="19"/>
  <c r="E120" i="19"/>
  <c r="D120" i="19"/>
  <c r="C120" i="19"/>
  <c r="E119" i="19"/>
  <c r="D119" i="19"/>
  <c r="C119" i="19"/>
  <c r="E118" i="19"/>
  <c r="D118" i="19"/>
  <c r="C118" i="19"/>
  <c r="E104" i="19"/>
  <c r="D104" i="19"/>
  <c r="C104" i="19"/>
  <c r="B104" i="19"/>
  <c r="E96" i="19"/>
  <c r="D96" i="19"/>
  <c r="C96" i="19"/>
  <c r="I91" i="19"/>
  <c r="H91" i="19"/>
  <c r="G91" i="19"/>
  <c r="I90" i="19"/>
  <c r="H90" i="19"/>
  <c r="G90" i="19"/>
  <c r="I89" i="19"/>
  <c r="H89" i="19"/>
  <c r="G89" i="19"/>
  <c r="I88" i="19"/>
  <c r="H88" i="19"/>
  <c r="G88" i="19"/>
  <c r="I87" i="19"/>
  <c r="H87" i="19"/>
  <c r="G87" i="19"/>
  <c r="I86" i="19"/>
  <c r="H86" i="19"/>
  <c r="G86" i="19"/>
  <c r="E85" i="19"/>
  <c r="D85" i="19"/>
  <c r="C85" i="19"/>
  <c r="B85" i="19"/>
  <c r="I84" i="19"/>
  <c r="H84" i="19"/>
  <c r="G84" i="19"/>
  <c r="I83" i="19"/>
  <c r="H83" i="19"/>
  <c r="G83" i="19"/>
  <c r="I82" i="19"/>
  <c r="H82" i="19"/>
  <c r="G82" i="19"/>
  <c r="I81" i="19"/>
  <c r="H81" i="19"/>
  <c r="G81" i="19"/>
  <c r="I80" i="19"/>
  <c r="H80" i="19"/>
  <c r="G80" i="19"/>
  <c r="I79" i="19"/>
  <c r="H79" i="19"/>
  <c r="G79" i="19"/>
  <c r="E78" i="19"/>
  <c r="D78" i="19"/>
  <c r="C78" i="19"/>
  <c r="B78" i="19"/>
  <c r="I77" i="19"/>
  <c r="H77" i="19"/>
  <c r="G77" i="19"/>
  <c r="I76" i="19"/>
  <c r="H76" i="19"/>
  <c r="G76" i="19"/>
  <c r="E75" i="19"/>
  <c r="D75" i="19"/>
  <c r="C75" i="19"/>
  <c r="B75" i="19"/>
  <c r="E74" i="19"/>
  <c r="D74" i="19"/>
  <c r="C74" i="19"/>
  <c r="B74" i="19"/>
  <c r="I73" i="19"/>
  <c r="H73" i="19"/>
  <c r="G73" i="19"/>
  <c r="I72" i="19"/>
  <c r="H72" i="19"/>
  <c r="G72" i="19"/>
  <c r="I71" i="19"/>
  <c r="H71" i="19"/>
  <c r="G71" i="19"/>
  <c r="I70" i="19"/>
  <c r="H70" i="19"/>
  <c r="G70" i="19"/>
  <c r="I69" i="19"/>
  <c r="H69" i="19"/>
  <c r="G69" i="19"/>
  <c r="I64" i="19"/>
  <c r="H64" i="19"/>
  <c r="G64" i="19"/>
  <c r="I63" i="19"/>
  <c r="H63" i="19"/>
  <c r="G63" i="19"/>
  <c r="I62" i="19"/>
  <c r="H62" i="19"/>
  <c r="G62" i="19"/>
  <c r="I61" i="19"/>
  <c r="H61" i="19"/>
  <c r="G61" i="19"/>
  <c r="E60" i="19"/>
  <c r="D60" i="19"/>
  <c r="C60" i="19"/>
  <c r="B60" i="19"/>
  <c r="E59" i="19"/>
  <c r="D59" i="19"/>
  <c r="C59" i="19"/>
  <c r="B59" i="19"/>
  <c r="I58" i="19"/>
  <c r="H58" i="19"/>
  <c r="G58" i="19"/>
  <c r="I57" i="19"/>
  <c r="H57" i="19"/>
  <c r="G57" i="19"/>
  <c r="I56" i="19"/>
  <c r="H56" i="19"/>
  <c r="G56" i="19"/>
  <c r="I55" i="19"/>
  <c r="H55" i="19"/>
  <c r="G55" i="19"/>
  <c r="I54" i="19"/>
  <c r="H54" i="19"/>
  <c r="G54" i="19"/>
  <c r="I52" i="19"/>
  <c r="H52" i="19"/>
  <c r="G52" i="19"/>
  <c r="E51" i="19"/>
  <c r="D51" i="19"/>
  <c r="D53" i="19" s="1"/>
  <c r="M22" i="13" s="1"/>
  <c r="C51" i="19"/>
  <c r="B51" i="19"/>
  <c r="B53" i="19" s="1"/>
  <c r="B112" i="19" s="1"/>
  <c r="I50" i="19"/>
  <c r="H50" i="19"/>
  <c r="G50" i="19"/>
  <c r="I49" i="19"/>
  <c r="H49" i="19"/>
  <c r="G49" i="19"/>
  <c r="I48" i="19"/>
  <c r="H48" i="19"/>
  <c r="G48" i="19"/>
  <c r="E46" i="19"/>
  <c r="E95" i="19" s="1"/>
  <c r="E115" i="19" s="1"/>
  <c r="D46" i="19"/>
  <c r="D95" i="19" s="1"/>
  <c r="D115" i="19" s="1"/>
  <c r="C46" i="19"/>
  <c r="C95" i="19" s="1"/>
  <c r="C115" i="19" s="1"/>
  <c r="B46" i="19"/>
  <c r="B95" i="19" s="1"/>
  <c r="B115" i="19" s="1"/>
  <c r="I43" i="19"/>
  <c r="H43" i="19"/>
  <c r="G43" i="19"/>
  <c r="I38" i="19"/>
  <c r="H38" i="19"/>
  <c r="G38" i="19"/>
  <c r="I35" i="19"/>
  <c r="H35" i="19"/>
  <c r="G35" i="19"/>
  <c r="I34" i="19"/>
  <c r="H34" i="19"/>
  <c r="G34" i="19"/>
  <c r="I33" i="19"/>
  <c r="H33" i="19"/>
  <c r="G33" i="19"/>
  <c r="I32" i="19"/>
  <c r="H32" i="19"/>
  <c r="G32" i="19"/>
  <c r="I31" i="19"/>
  <c r="H31" i="19"/>
  <c r="G31" i="19"/>
  <c r="I28" i="19"/>
  <c r="H28" i="19"/>
  <c r="G28" i="19"/>
  <c r="I27" i="19"/>
  <c r="H27" i="19"/>
  <c r="G27" i="19"/>
  <c r="I26" i="19"/>
  <c r="H26" i="19"/>
  <c r="G26" i="19"/>
  <c r="I25" i="19"/>
  <c r="H25" i="19"/>
  <c r="G25" i="19"/>
  <c r="E24" i="19"/>
  <c r="D24" i="19"/>
  <c r="C24" i="19"/>
  <c r="B24" i="19"/>
  <c r="I22" i="19"/>
  <c r="H22" i="19"/>
  <c r="G22" i="19"/>
  <c r="I21" i="19"/>
  <c r="H21" i="19"/>
  <c r="G21" i="19"/>
  <c r="I20" i="19"/>
  <c r="H20" i="19"/>
  <c r="G20" i="19"/>
  <c r="I19" i="19"/>
  <c r="H19" i="19"/>
  <c r="G19" i="19"/>
  <c r="I18" i="19"/>
  <c r="H18" i="19"/>
  <c r="G18" i="19"/>
  <c r="I15" i="19"/>
  <c r="H15" i="19"/>
  <c r="G15" i="19"/>
  <c r="I14" i="19"/>
  <c r="H14" i="19"/>
  <c r="G14" i="19"/>
  <c r="I13" i="19"/>
  <c r="H13" i="19"/>
  <c r="G13" i="19"/>
  <c r="I12" i="19"/>
  <c r="H12" i="19"/>
  <c r="G12" i="19"/>
  <c r="I11" i="19"/>
  <c r="H11" i="19"/>
  <c r="G11" i="19"/>
  <c r="I10" i="19"/>
  <c r="H10" i="19"/>
  <c r="G10" i="19"/>
  <c r="E9" i="19"/>
  <c r="D9" i="19"/>
  <c r="C9" i="19"/>
  <c r="B9" i="19"/>
  <c r="E8" i="19"/>
  <c r="D8" i="19"/>
  <c r="C8" i="19"/>
  <c r="B8" i="19"/>
  <c r="I7" i="19"/>
  <c r="H7" i="19"/>
  <c r="G7" i="19"/>
  <c r="I6" i="19"/>
  <c r="H6" i="19"/>
  <c r="G6" i="19"/>
  <c r="I5" i="19"/>
  <c r="H5" i="19"/>
  <c r="G5" i="19"/>
  <c r="E144" i="18"/>
  <c r="D144" i="18"/>
  <c r="C144" i="18"/>
  <c r="E143" i="18"/>
  <c r="D143" i="18"/>
  <c r="C143" i="18"/>
  <c r="E139" i="18"/>
  <c r="D139" i="18"/>
  <c r="C139" i="18"/>
  <c r="E137" i="18"/>
  <c r="D137" i="18"/>
  <c r="C137" i="18"/>
  <c r="E136" i="18"/>
  <c r="D136" i="18"/>
  <c r="C136" i="18"/>
  <c r="E132" i="18"/>
  <c r="D132" i="18"/>
  <c r="C132" i="18"/>
  <c r="E131" i="18"/>
  <c r="D131" i="18"/>
  <c r="C131" i="18"/>
  <c r="E127" i="18"/>
  <c r="D127" i="18"/>
  <c r="C127" i="18"/>
  <c r="E124" i="18"/>
  <c r="D124" i="18"/>
  <c r="C124" i="18"/>
  <c r="E121" i="18"/>
  <c r="D121" i="18"/>
  <c r="C121" i="18"/>
  <c r="E120" i="18"/>
  <c r="D120" i="18"/>
  <c r="C120" i="18"/>
  <c r="E119" i="18"/>
  <c r="D119" i="18"/>
  <c r="C119" i="18"/>
  <c r="E118" i="18"/>
  <c r="D118" i="18"/>
  <c r="C118" i="18"/>
  <c r="E104" i="18"/>
  <c r="D104" i="18"/>
  <c r="C104" i="18"/>
  <c r="B104" i="18"/>
  <c r="E96" i="18"/>
  <c r="D96" i="18"/>
  <c r="C96" i="18"/>
  <c r="E85" i="18"/>
  <c r="D85" i="18"/>
  <c r="C85" i="18"/>
  <c r="B85" i="18"/>
  <c r="E78" i="18"/>
  <c r="D78" i="18"/>
  <c r="C78" i="18"/>
  <c r="B78" i="18"/>
  <c r="E75" i="18"/>
  <c r="D75" i="18"/>
  <c r="C75" i="18"/>
  <c r="B75" i="18"/>
  <c r="E74" i="18"/>
  <c r="D74" i="18"/>
  <c r="C74" i="18"/>
  <c r="B74" i="18"/>
  <c r="E60" i="18"/>
  <c r="D60" i="18"/>
  <c r="C60" i="18"/>
  <c r="B60" i="18"/>
  <c r="E59" i="18"/>
  <c r="D59" i="18"/>
  <c r="C59" i="18"/>
  <c r="B59" i="18"/>
  <c r="E51" i="18"/>
  <c r="D51" i="18"/>
  <c r="C51" i="18"/>
  <c r="B51" i="18"/>
  <c r="E46" i="18"/>
  <c r="E95" i="18" s="1"/>
  <c r="E115" i="18" s="1"/>
  <c r="D46" i="18"/>
  <c r="D95" i="18" s="1"/>
  <c r="D115" i="18" s="1"/>
  <c r="C46" i="18"/>
  <c r="C95" i="18" s="1"/>
  <c r="C115" i="18" s="1"/>
  <c r="B46" i="18"/>
  <c r="B95" i="18" s="1"/>
  <c r="B115" i="18" s="1"/>
  <c r="E24" i="18"/>
  <c r="D24" i="18"/>
  <c r="C24" i="18"/>
  <c r="B24" i="18"/>
  <c r="E9" i="18"/>
  <c r="D9" i="18"/>
  <c r="C9" i="18"/>
  <c r="B9" i="18"/>
  <c r="E8" i="18"/>
  <c r="D8" i="18"/>
  <c r="C8" i="18"/>
  <c r="B8" i="18"/>
  <c r="G5" i="18"/>
  <c r="E104" i="3"/>
  <c r="E96" i="3"/>
  <c r="D104" i="3"/>
  <c r="D96" i="3"/>
  <c r="C104" i="3"/>
  <c r="C96" i="3"/>
  <c r="B104" i="3"/>
  <c r="D47" i="3"/>
  <c r="D68" i="3" s="1"/>
  <c r="E46" i="3"/>
  <c r="D46" i="3"/>
  <c r="C46" i="3"/>
  <c r="B46" i="3"/>
  <c r="E4" i="3"/>
  <c r="C4" i="3"/>
  <c r="M23" i="13" l="1"/>
  <c r="M21" i="13"/>
  <c r="K21" i="13"/>
  <c r="K23" i="13"/>
  <c r="N23" i="13"/>
  <c r="N21" i="13"/>
  <c r="J23" i="13"/>
  <c r="J21" i="13"/>
  <c r="I23" i="13"/>
  <c r="I21" i="13"/>
  <c r="L21" i="13"/>
  <c r="L23" i="13"/>
  <c r="E4" i="19"/>
  <c r="E47" i="19" s="1"/>
  <c r="E68" i="19" s="1"/>
  <c r="B85" i="20"/>
  <c r="B75" i="20"/>
  <c r="G60" i="19"/>
  <c r="C92" i="19"/>
  <c r="C74" i="20"/>
  <c r="C130" i="20" s="1"/>
  <c r="G73" i="20"/>
  <c r="H24" i="19"/>
  <c r="C8" i="20"/>
  <c r="C16" i="20" s="1"/>
  <c r="B51" i="20"/>
  <c r="B53" i="20" s="1"/>
  <c r="C60" i="20"/>
  <c r="E53" i="19"/>
  <c r="N22" i="13" s="1"/>
  <c r="C137" i="20"/>
  <c r="E106" i="19"/>
  <c r="E130" i="19"/>
  <c r="E133" i="19" s="1"/>
  <c r="I75" i="19"/>
  <c r="I85" i="19"/>
  <c r="D51" i="20"/>
  <c r="D53" i="20" s="1"/>
  <c r="G9" i="18"/>
  <c r="G24" i="18"/>
  <c r="G59" i="18"/>
  <c r="E106" i="18"/>
  <c r="G60" i="18"/>
  <c r="G74" i="18"/>
  <c r="G75" i="18"/>
  <c r="G78" i="18"/>
  <c r="G85" i="18"/>
  <c r="H20" i="20"/>
  <c r="H21" i="20"/>
  <c r="E47" i="3"/>
  <c r="E68" i="3" s="1"/>
  <c r="H15" i="13"/>
  <c r="H26" i="13" s="1"/>
  <c r="D17" i="19"/>
  <c r="C125" i="18"/>
  <c r="H33" i="20"/>
  <c r="G12" i="20"/>
  <c r="I53" i="19"/>
  <c r="E123" i="19"/>
  <c r="E85" i="20"/>
  <c r="I72" i="20"/>
  <c r="I73" i="20"/>
  <c r="I54" i="20"/>
  <c r="I57" i="20"/>
  <c r="I76" i="20"/>
  <c r="H35" i="20"/>
  <c r="H34" i="20"/>
  <c r="H32" i="20"/>
  <c r="H19" i="20"/>
  <c r="H9" i="18"/>
  <c r="H24" i="18"/>
  <c r="I85" i="18"/>
  <c r="I83" i="20"/>
  <c r="E75" i="20"/>
  <c r="I75" i="20" s="1"/>
  <c r="I63" i="20"/>
  <c r="I60" i="18"/>
  <c r="I59" i="18"/>
  <c r="E60" i="20"/>
  <c r="E65" i="20" s="1"/>
  <c r="I78" i="18"/>
  <c r="I75" i="18"/>
  <c r="I77" i="20"/>
  <c r="I35" i="20"/>
  <c r="I34" i="20"/>
  <c r="I25" i="20"/>
  <c r="E24" i="20"/>
  <c r="I22" i="20"/>
  <c r="I12" i="20"/>
  <c r="I70" i="20"/>
  <c r="I21" i="20"/>
  <c r="I26" i="20"/>
  <c r="E139" i="20"/>
  <c r="I50" i="20"/>
  <c r="I13" i="20"/>
  <c r="I90" i="20"/>
  <c r="I89" i="20"/>
  <c r="I87" i="20"/>
  <c r="E78" i="20"/>
  <c r="I84" i="20"/>
  <c r="I81" i="20"/>
  <c r="E74" i="20"/>
  <c r="I49" i="20"/>
  <c r="I62" i="20"/>
  <c r="I64" i="20"/>
  <c r="I58" i="20"/>
  <c r="I56" i="20"/>
  <c r="I55" i="20"/>
  <c r="I43" i="20"/>
  <c r="E119" i="20"/>
  <c r="I28" i="20"/>
  <c r="I27" i="20"/>
  <c r="I20" i="20"/>
  <c r="I18" i="20"/>
  <c r="I19" i="20"/>
  <c r="I15" i="20"/>
  <c r="I14" i="20"/>
  <c r="E9" i="20"/>
  <c r="E106" i="20" s="1"/>
  <c r="I11" i="20"/>
  <c r="H77" i="20"/>
  <c r="D60" i="20"/>
  <c r="H86" i="20"/>
  <c r="H87" i="20"/>
  <c r="D132" i="20"/>
  <c r="H90" i="20"/>
  <c r="H91" i="20"/>
  <c r="D78" i="20"/>
  <c r="D144" i="20"/>
  <c r="H79" i="20"/>
  <c r="H80" i="20"/>
  <c r="H83" i="20"/>
  <c r="H84" i="20"/>
  <c r="H70" i="20"/>
  <c r="H71" i="20"/>
  <c r="H72" i="20"/>
  <c r="H63" i="20"/>
  <c r="H64" i="20"/>
  <c r="H57" i="20"/>
  <c r="H50" i="20"/>
  <c r="H43" i="20"/>
  <c r="H38" i="20"/>
  <c r="H25" i="20"/>
  <c r="H27" i="20"/>
  <c r="H28" i="20"/>
  <c r="H13" i="20"/>
  <c r="H14" i="20"/>
  <c r="H15" i="20"/>
  <c r="H62" i="20"/>
  <c r="B66" i="18"/>
  <c r="G51" i="18"/>
  <c r="B53" i="18"/>
  <c r="B101" i="18" s="1"/>
  <c r="C125" i="19"/>
  <c r="C66" i="18"/>
  <c r="H51" i="18"/>
  <c r="B66" i="19"/>
  <c r="B109" i="19"/>
  <c r="I52" i="20"/>
  <c r="G69" i="20"/>
  <c r="H88" i="20"/>
  <c r="E124" i="20"/>
  <c r="E130" i="18"/>
  <c r="E133" i="18" s="1"/>
  <c r="I74" i="18"/>
  <c r="I9" i="18"/>
  <c r="I24" i="18"/>
  <c r="D53" i="18"/>
  <c r="I51" i="18"/>
  <c r="H59" i="18"/>
  <c r="H60" i="18"/>
  <c r="C92" i="18"/>
  <c r="H74" i="18"/>
  <c r="H75" i="18"/>
  <c r="D123" i="18"/>
  <c r="H78" i="18"/>
  <c r="H85" i="18"/>
  <c r="C66" i="19"/>
  <c r="I60" i="19"/>
  <c r="D123" i="19"/>
  <c r="I33" i="20"/>
  <c r="I71" i="20"/>
  <c r="C75" i="20"/>
  <c r="H75" i="20" s="1"/>
  <c r="D47" i="20"/>
  <c r="D68" i="20" s="1"/>
  <c r="C4" i="19"/>
  <c r="C47" i="19" s="1"/>
  <c r="C68" i="19" s="1"/>
  <c r="H4" i="19"/>
  <c r="H47" i="19" s="1"/>
  <c r="H68" i="19" s="1"/>
  <c r="C4" i="18"/>
  <c r="C47" i="18" s="1"/>
  <c r="C68" i="18" s="1"/>
  <c r="H58" i="20"/>
  <c r="C16" i="19"/>
  <c r="C17" i="19"/>
  <c r="E16" i="19"/>
  <c r="E17" i="19"/>
  <c r="B16" i="19"/>
  <c r="B17" i="19"/>
  <c r="C16" i="18"/>
  <c r="H8" i="18"/>
  <c r="C17" i="18"/>
  <c r="C23" i="18" s="1"/>
  <c r="B16" i="18"/>
  <c r="G8" i="18"/>
  <c r="B17" i="18"/>
  <c r="I8" i="18"/>
  <c r="D17" i="18"/>
  <c r="E16" i="18"/>
  <c r="E17" i="18"/>
  <c r="I82" i="20"/>
  <c r="H73" i="20"/>
  <c r="E136" i="20"/>
  <c r="I48" i="20"/>
  <c r="C120" i="20"/>
  <c r="I6" i="20"/>
  <c r="I7" i="20"/>
  <c r="I10" i="20"/>
  <c r="B106" i="19"/>
  <c r="B105" i="19"/>
  <c r="D92" i="19"/>
  <c r="H56" i="20"/>
  <c r="H81" i="20"/>
  <c r="C85" i="20"/>
  <c r="D139" i="20"/>
  <c r="D136" i="20"/>
  <c r="H55" i="20"/>
  <c r="D143" i="20"/>
  <c r="C144" i="20"/>
  <c r="H82" i="20"/>
  <c r="D124" i="20"/>
  <c r="H89" i="20"/>
  <c r="E66" i="18"/>
  <c r="E53" i="18"/>
  <c r="K22" i="13" s="1"/>
  <c r="E110" i="18"/>
  <c r="E65" i="19"/>
  <c r="H10" i="20"/>
  <c r="G25" i="20"/>
  <c r="G35" i="20"/>
  <c r="C59" i="20"/>
  <c r="H69" i="20"/>
  <c r="G86" i="20"/>
  <c r="I5" i="20"/>
  <c r="D8" i="20"/>
  <c r="I32" i="20"/>
  <c r="D120" i="20"/>
  <c r="D137" i="20"/>
  <c r="H61" i="20"/>
  <c r="D74" i="20"/>
  <c r="H74" i="20" s="1"/>
  <c r="I69" i="20"/>
  <c r="E131" i="20"/>
  <c r="I80" i="20"/>
  <c r="I86" i="20"/>
  <c r="D85" i="20"/>
  <c r="E132" i="20"/>
  <c r="I88" i="20"/>
  <c r="E65" i="18"/>
  <c r="D101" i="19"/>
  <c r="H4" i="18"/>
  <c r="H47" i="18" s="1"/>
  <c r="H68" i="18" s="1"/>
  <c r="E4" i="18"/>
  <c r="C51" i="20"/>
  <c r="C53" i="20" s="1"/>
  <c r="B4" i="3"/>
  <c r="F15" i="13"/>
  <c r="B106" i="18"/>
  <c r="B105" i="18"/>
  <c r="D92" i="18"/>
  <c r="E123" i="18"/>
  <c r="H75" i="19"/>
  <c r="E110" i="19"/>
  <c r="H85" i="19"/>
  <c r="E4" i="20"/>
  <c r="I4" i="20" s="1"/>
  <c r="I47" i="20" s="1"/>
  <c r="I68" i="20" s="1"/>
  <c r="C4" i="20"/>
  <c r="C47" i="20" s="1"/>
  <c r="C68" i="20" s="1"/>
  <c r="H12" i="20"/>
  <c r="D59" i="20"/>
  <c r="G90" i="20"/>
  <c r="C121" i="20"/>
  <c r="D127" i="20"/>
  <c r="E137" i="20"/>
  <c r="B65" i="18"/>
  <c r="E92" i="18"/>
  <c r="G59" i="19"/>
  <c r="B101" i="19"/>
  <c r="B65" i="19"/>
  <c r="B102" i="19" s="1"/>
  <c r="E92" i="19"/>
  <c r="E96" i="20"/>
  <c r="B92" i="18"/>
  <c r="D110" i="18"/>
  <c r="G24" i="19"/>
  <c r="H59" i="19"/>
  <c r="H60" i="19"/>
  <c r="B92" i="19"/>
  <c r="G92" i="19" s="1"/>
  <c r="G75" i="19"/>
  <c r="D110" i="19"/>
  <c r="G85" i="19"/>
  <c r="G10" i="20"/>
  <c r="G13" i="20"/>
  <c r="G14" i="20"/>
  <c r="G19" i="20"/>
  <c r="G20" i="20"/>
  <c r="G27" i="20"/>
  <c r="G28" i="20"/>
  <c r="G32" i="20"/>
  <c r="G33" i="20"/>
  <c r="G34" i="20"/>
  <c r="G38" i="20"/>
  <c r="G43" i="20"/>
  <c r="G50" i="20"/>
  <c r="C139" i="20"/>
  <c r="G56" i="20"/>
  <c r="G57" i="20"/>
  <c r="G58" i="20"/>
  <c r="G62" i="20"/>
  <c r="G63" i="20"/>
  <c r="G70" i="20"/>
  <c r="G71" i="20"/>
  <c r="G72" i="20"/>
  <c r="G76" i="20"/>
  <c r="G77" i="20"/>
  <c r="G79" i="20"/>
  <c r="G83" i="20"/>
  <c r="G87" i="20"/>
  <c r="G88" i="20"/>
  <c r="C124" i="20"/>
  <c r="G91" i="20"/>
  <c r="H22" i="20"/>
  <c r="D24" i="20"/>
  <c r="D9" i="20"/>
  <c r="I31" i="20"/>
  <c r="H18" i="20"/>
  <c r="H26" i="20"/>
  <c r="H11" i="20"/>
  <c r="H6" i="20"/>
  <c r="I79" i="20"/>
  <c r="I61" i="20"/>
  <c r="H54" i="20"/>
  <c r="H48" i="20"/>
  <c r="G31" i="20"/>
  <c r="H31" i="20"/>
  <c r="G22" i="20"/>
  <c r="C24" i="20"/>
  <c r="G26" i="20"/>
  <c r="G21" i="20"/>
  <c r="G15" i="20"/>
  <c r="G11" i="20"/>
  <c r="G18" i="20"/>
  <c r="G7" i="20"/>
  <c r="G6" i="20"/>
  <c r="C96" i="20"/>
  <c r="C104" i="20"/>
  <c r="G82" i="20"/>
  <c r="G84" i="20"/>
  <c r="C78" i="20"/>
  <c r="D131" i="20"/>
  <c r="G64" i="20"/>
  <c r="G61" i="20"/>
  <c r="G54" i="20"/>
  <c r="C136" i="20"/>
  <c r="H49" i="20"/>
  <c r="G49" i="20"/>
  <c r="B60" i="20"/>
  <c r="G55" i="20"/>
  <c r="B59" i="20"/>
  <c r="B24" i="20"/>
  <c r="B8" i="20"/>
  <c r="G5" i="20"/>
  <c r="E8" i="20"/>
  <c r="D104" i="20"/>
  <c r="H5" i="20"/>
  <c r="D96" i="20"/>
  <c r="E104" i="20"/>
  <c r="B104" i="20"/>
  <c r="G89" i="20"/>
  <c r="C132" i="20"/>
  <c r="G80" i="20"/>
  <c r="C131" i="20"/>
  <c r="C143" i="20"/>
  <c r="B78" i="20"/>
  <c r="D119" i="20"/>
  <c r="G52" i="20"/>
  <c r="G48" i="20"/>
  <c r="E53" i="20"/>
  <c r="C119" i="20"/>
  <c r="B9" i="20"/>
  <c r="H7" i="20"/>
  <c r="G74" i="20"/>
  <c r="C105" i="20"/>
  <c r="C106" i="20"/>
  <c r="D106" i="19"/>
  <c r="D105" i="19"/>
  <c r="H8" i="19"/>
  <c r="I9" i="19"/>
  <c r="D16" i="19"/>
  <c r="D112" i="19"/>
  <c r="I51" i="19"/>
  <c r="I59" i="19"/>
  <c r="B108" i="19"/>
  <c r="B110" i="19"/>
  <c r="I4" i="19"/>
  <c r="I47" i="19" s="1"/>
  <c r="I68" i="19" s="1"/>
  <c r="I8" i="19"/>
  <c r="I24" i="19"/>
  <c r="C53" i="19"/>
  <c r="C65" i="19"/>
  <c r="D66" i="19"/>
  <c r="H74" i="19"/>
  <c r="H78" i="19"/>
  <c r="C105" i="19"/>
  <c r="C106" i="19"/>
  <c r="C108" i="19"/>
  <c r="C109" i="19"/>
  <c r="C110" i="19"/>
  <c r="D125" i="19"/>
  <c r="C130" i="19"/>
  <c r="C133" i="19" s="1"/>
  <c r="G74" i="19"/>
  <c r="G9" i="19"/>
  <c r="G51" i="19"/>
  <c r="D65" i="19"/>
  <c r="E66" i="19"/>
  <c r="I74" i="19"/>
  <c r="I78" i="19"/>
  <c r="D108" i="19"/>
  <c r="D109" i="19"/>
  <c r="C123" i="19"/>
  <c r="E125" i="19"/>
  <c r="D130" i="19"/>
  <c r="D133" i="19" s="1"/>
  <c r="G78" i="19"/>
  <c r="G8" i="19"/>
  <c r="H9" i="19"/>
  <c r="H51" i="19"/>
  <c r="E105" i="19"/>
  <c r="E107" i="19" s="1"/>
  <c r="E108" i="19"/>
  <c r="E109" i="19"/>
  <c r="D106" i="18"/>
  <c r="D105" i="18"/>
  <c r="D16" i="18"/>
  <c r="B108" i="18"/>
  <c r="B110" i="18"/>
  <c r="C53" i="18"/>
  <c r="I22" i="13" s="1"/>
  <c r="C65" i="18"/>
  <c r="D66" i="18"/>
  <c r="C105" i="18"/>
  <c r="C106" i="18"/>
  <c r="C108" i="18"/>
  <c r="C109" i="18"/>
  <c r="C110" i="18"/>
  <c r="D125" i="18"/>
  <c r="C130" i="18"/>
  <c r="C133" i="18" s="1"/>
  <c r="B109" i="18"/>
  <c r="D65" i="18"/>
  <c r="D108" i="18"/>
  <c r="D109" i="18"/>
  <c r="C123" i="18"/>
  <c r="E125" i="18"/>
  <c r="D130" i="18"/>
  <c r="D133" i="18" s="1"/>
  <c r="E105" i="18"/>
  <c r="E108" i="18"/>
  <c r="E109" i="18"/>
  <c r="I4" i="3"/>
  <c r="I47" i="3" s="1"/>
  <c r="I68" i="3" s="1"/>
  <c r="C47" i="3"/>
  <c r="C68" i="3" s="1"/>
  <c r="B107" i="19" l="1"/>
  <c r="G85" i="20"/>
  <c r="G16" i="19"/>
  <c r="C93" i="19"/>
  <c r="E101" i="19"/>
  <c r="E112" i="19"/>
  <c r="H66" i="19"/>
  <c r="H53" i="19"/>
  <c r="L22" i="13"/>
  <c r="E107" i="18"/>
  <c r="G60" i="20"/>
  <c r="C65" i="20"/>
  <c r="C102" i="20" s="1"/>
  <c r="D112" i="18"/>
  <c r="J22" i="13"/>
  <c r="H60" i="20"/>
  <c r="D101" i="20"/>
  <c r="G75" i="20"/>
  <c r="H8" i="20"/>
  <c r="C17" i="20"/>
  <c r="C23" i="20" s="1"/>
  <c r="C36" i="20" s="1"/>
  <c r="G53" i="19"/>
  <c r="K15" i="13"/>
  <c r="N15" i="13" s="1"/>
  <c r="I51" i="20"/>
  <c r="E102" i="19"/>
  <c r="H17" i="19"/>
  <c r="G66" i="19"/>
  <c r="E66" i="20"/>
  <c r="E23" i="19"/>
  <c r="E36" i="19" s="1"/>
  <c r="B107" i="18"/>
  <c r="E23" i="18"/>
  <c r="E99" i="18" s="1"/>
  <c r="E101" i="18"/>
  <c r="C23" i="19"/>
  <c r="C111" i="19" s="1"/>
  <c r="D125" i="20"/>
  <c r="E47" i="18"/>
  <c r="E68" i="18" s="1"/>
  <c r="I24" i="20"/>
  <c r="B102" i="18"/>
  <c r="E93" i="19"/>
  <c r="C107" i="19"/>
  <c r="C93" i="18"/>
  <c r="B93" i="18"/>
  <c r="H53" i="18"/>
  <c r="D109" i="20"/>
  <c r="I60" i="20"/>
  <c r="D130" i="20"/>
  <c r="D133" i="20" s="1"/>
  <c r="C112" i="19"/>
  <c r="I16" i="19"/>
  <c r="I85" i="20"/>
  <c r="D110" i="20"/>
  <c r="E109" i="20"/>
  <c r="E125" i="20"/>
  <c r="E108" i="20"/>
  <c r="E110" i="20"/>
  <c r="I65" i="18"/>
  <c r="I66" i="18"/>
  <c r="E92" i="20"/>
  <c r="I74" i="20"/>
  <c r="I16" i="18"/>
  <c r="E105" i="20"/>
  <c r="E107" i="20" s="1"/>
  <c r="E130" i="20"/>
  <c r="E133" i="20" s="1"/>
  <c r="D108" i="20"/>
  <c r="E123" i="20"/>
  <c r="I78" i="20"/>
  <c r="D123" i="20"/>
  <c r="B4" i="19"/>
  <c r="B47" i="19" s="1"/>
  <c r="B68" i="19" s="1"/>
  <c r="G65" i="18"/>
  <c r="E112" i="18"/>
  <c r="H92" i="18"/>
  <c r="I53" i="18"/>
  <c r="B112" i="18"/>
  <c r="G53" i="18"/>
  <c r="G24" i="20"/>
  <c r="H65" i="18"/>
  <c r="E102" i="18"/>
  <c r="I92" i="18"/>
  <c r="D107" i="18"/>
  <c r="G4" i="19"/>
  <c r="G47" i="19" s="1"/>
  <c r="G68" i="19" s="1"/>
  <c r="G92" i="18"/>
  <c r="I92" i="19"/>
  <c r="D101" i="18"/>
  <c r="G16" i="18"/>
  <c r="H66" i="18"/>
  <c r="G66" i="18"/>
  <c r="B4" i="20"/>
  <c r="B47" i="20" s="1"/>
  <c r="B68" i="20" s="1"/>
  <c r="B4" i="18"/>
  <c r="B47" i="18" s="1"/>
  <c r="B68" i="18" s="1"/>
  <c r="G4" i="20"/>
  <c r="G47" i="20" s="1"/>
  <c r="G68" i="20" s="1"/>
  <c r="D107" i="19"/>
  <c r="I17" i="18"/>
  <c r="G4" i="18"/>
  <c r="G47" i="18" s="1"/>
  <c r="G68" i="18" s="1"/>
  <c r="E47" i="20"/>
  <c r="E68" i="20" s="1"/>
  <c r="I4" i="18"/>
  <c r="I47" i="18" s="1"/>
  <c r="I68" i="18" s="1"/>
  <c r="B47" i="3"/>
  <c r="B68" i="3" s="1"/>
  <c r="C66" i="20"/>
  <c r="I8" i="20"/>
  <c r="D17" i="20"/>
  <c r="H17" i="18"/>
  <c r="G17" i="18"/>
  <c r="C111" i="18"/>
  <c r="C113" i="18"/>
  <c r="H16" i="18"/>
  <c r="G59" i="20"/>
  <c r="E102" i="20"/>
  <c r="D65" i="20"/>
  <c r="D102" i="20" s="1"/>
  <c r="E16" i="20"/>
  <c r="E17" i="20"/>
  <c r="E23" i="20" s="1"/>
  <c r="G8" i="20"/>
  <c r="B17" i="20"/>
  <c r="H51" i="20"/>
  <c r="B23" i="18"/>
  <c r="C101" i="18"/>
  <c r="G17" i="19"/>
  <c r="B23" i="19"/>
  <c r="B93" i="19"/>
  <c r="D112" i="20"/>
  <c r="G65" i="19"/>
  <c r="D105" i="20"/>
  <c r="B65" i="20"/>
  <c r="H24" i="20"/>
  <c r="E93" i="18"/>
  <c r="G51" i="20"/>
  <c r="D66" i="20"/>
  <c r="D92" i="20"/>
  <c r="C112" i="18"/>
  <c r="C107" i="18"/>
  <c r="I59" i="20"/>
  <c r="D106" i="20"/>
  <c r="I9" i="20"/>
  <c r="B66" i="20"/>
  <c r="G78" i="20"/>
  <c r="C92" i="20"/>
  <c r="H59" i="20"/>
  <c r="C101" i="19"/>
  <c r="E101" i="20"/>
  <c r="H92" i="19"/>
  <c r="H85" i="20"/>
  <c r="H9" i="20"/>
  <c r="D16" i="20"/>
  <c r="H16" i="20" s="1"/>
  <c r="C110" i="20"/>
  <c r="C109" i="20"/>
  <c r="H78" i="20"/>
  <c r="C108" i="20"/>
  <c r="H53" i="20"/>
  <c r="C101" i="20"/>
  <c r="B108" i="20"/>
  <c r="C125" i="20"/>
  <c r="B112" i="20"/>
  <c r="B101" i="20"/>
  <c r="B16" i="20"/>
  <c r="G16" i="20" s="1"/>
  <c r="C133" i="20"/>
  <c r="B109" i="20"/>
  <c r="B92" i="20"/>
  <c r="C123" i="20"/>
  <c r="B110" i="20"/>
  <c r="G53" i="20"/>
  <c r="C112" i="20"/>
  <c r="E112" i="20"/>
  <c r="I53" i="20"/>
  <c r="B105" i="20"/>
  <c r="B106" i="20"/>
  <c r="G9" i="20"/>
  <c r="C107" i="20"/>
  <c r="D102" i="19"/>
  <c r="I65" i="19"/>
  <c r="C102" i="19"/>
  <c r="H65" i="19"/>
  <c r="D93" i="19"/>
  <c r="I66" i="19"/>
  <c r="D23" i="19"/>
  <c r="I17" i="19"/>
  <c r="H16" i="19"/>
  <c r="C29" i="18"/>
  <c r="I18" i="13" s="1"/>
  <c r="C99" i="18"/>
  <c r="C36" i="18"/>
  <c r="D102" i="18"/>
  <c r="D93" i="18"/>
  <c r="C102" i="18"/>
  <c r="D23" i="18"/>
  <c r="G65" i="20" l="1"/>
  <c r="C29" i="19"/>
  <c r="L18" i="13" s="1"/>
  <c r="E111" i="18"/>
  <c r="E99" i="19"/>
  <c r="E113" i="19"/>
  <c r="E29" i="18"/>
  <c r="K18" i="13" s="1"/>
  <c r="E36" i="18"/>
  <c r="E37" i="18" s="1"/>
  <c r="E93" i="20"/>
  <c r="C99" i="20"/>
  <c r="C113" i="20"/>
  <c r="C111" i="20"/>
  <c r="C29" i="20"/>
  <c r="C30" i="20" s="1"/>
  <c r="H17" i="20"/>
  <c r="E111" i="19"/>
  <c r="E29" i="19"/>
  <c r="N18" i="13" s="1"/>
  <c r="C99" i="19"/>
  <c r="C113" i="19"/>
  <c r="C36" i="19"/>
  <c r="C39" i="19" s="1"/>
  <c r="H65" i="20"/>
  <c r="D23" i="20"/>
  <c r="D111" i="20" s="1"/>
  <c r="I92" i="20"/>
  <c r="E36" i="20"/>
  <c r="H66" i="20"/>
  <c r="G66" i="20"/>
  <c r="I65" i="20"/>
  <c r="C93" i="20"/>
  <c r="E111" i="20"/>
  <c r="G23" i="19"/>
  <c r="B113" i="19"/>
  <c r="D111" i="19"/>
  <c r="D113" i="19"/>
  <c r="E99" i="20"/>
  <c r="I17" i="20"/>
  <c r="E29" i="20"/>
  <c r="E103" i="20" s="1"/>
  <c r="D111" i="18"/>
  <c r="I23" i="18"/>
  <c r="D113" i="18"/>
  <c r="G23" i="18"/>
  <c r="B113" i="18"/>
  <c r="H23" i="18"/>
  <c r="B102" i="20"/>
  <c r="I66" i="20"/>
  <c r="D107" i="20"/>
  <c r="D93" i="20"/>
  <c r="B36" i="19"/>
  <c r="B111" i="19"/>
  <c r="B29" i="19"/>
  <c r="B99" i="19"/>
  <c r="B36" i="18"/>
  <c r="G36" i="18" s="1"/>
  <c r="B29" i="18"/>
  <c r="G29" i="18" s="1"/>
  <c r="B99" i="18"/>
  <c r="B111" i="18"/>
  <c r="H92" i="20"/>
  <c r="I16" i="20"/>
  <c r="G92" i="20"/>
  <c r="B93" i="20"/>
  <c r="B107" i="20"/>
  <c r="G17" i="20"/>
  <c r="B23" i="20"/>
  <c r="C37" i="20"/>
  <c r="C39" i="20"/>
  <c r="D99" i="19"/>
  <c r="I23" i="19"/>
  <c r="D29" i="19"/>
  <c r="M18" i="13" s="1"/>
  <c r="D36" i="19"/>
  <c r="H23" i="19"/>
  <c r="E103" i="19"/>
  <c r="E39" i="19"/>
  <c r="E37" i="19"/>
  <c r="C37" i="19"/>
  <c r="C30" i="19"/>
  <c r="C103" i="19"/>
  <c r="C100" i="19"/>
  <c r="L17" i="13" s="1"/>
  <c r="E103" i="18"/>
  <c r="E100" i="18"/>
  <c r="K17" i="13" s="1"/>
  <c r="C37" i="18"/>
  <c r="C39" i="18"/>
  <c r="D99" i="18"/>
  <c r="D36" i="18"/>
  <c r="D29" i="18"/>
  <c r="C30" i="18"/>
  <c r="C103" i="18"/>
  <c r="C100" i="18"/>
  <c r="I17" i="13" s="1"/>
  <c r="E30" i="18" l="1"/>
  <c r="E30" i="19"/>
  <c r="I29" i="18"/>
  <c r="J18" i="13"/>
  <c r="E100" i="19"/>
  <c r="N17" i="13" s="1"/>
  <c r="I36" i="18"/>
  <c r="C100" i="20"/>
  <c r="C103" i="20"/>
  <c r="E40" i="19"/>
  <c r="E97" i="19" s="1"/>
  <c r="H36" i="19"/>
  <c r="H23" i="20"/>
  <c r="I23" i="20"/>
  <c r="D99" i="20"/>
  <c r="D36" i="20"/>
  <c r="D39" i="20" s="1"/>
  <c r="H39" i="20" s="1"/>
  <c r="D113" i="20"/>
  <c r="D29" i="20"/>
  <c r="D100" i="20" s="1"/>
  <c r="E37" i="20"/>
  <c r="E30" i="20"/>
  <c r="E100" i="20"/>
  <c r="H29" i="18"/>
  <c r="H36" i="18"/>
  <c r="B111" i="20"/>
  <c r="B113" i="20"/>
  <c r="B30" i="19"/>
  <c r="G30" i="19" s="1"/>
  <c r="B103" i="19"/>
  <c r="B100" i="19"/>
  <c r="G29" i="19"/>
  <c r="B103" i="18"/>
  <c r="B30" i="18"/>
  <c r="G30" i="18" s="1"/>
  <c r="B100" i="18"/>
  <c r="B39" i="18"/>
  <c r="G39" i="18" s="1"/>
  <c r="B37" i="18"/>
  <c r="G36" i="19"/>
  <c r="B39" i="19"/>
  <c r="G39" i="19" s="1"/>
  <c r="B37" i="19"/>
  <c r="B36" i="20"/>
  <c r="G23" i="20"/>
  <c r="B29" i="20"/>
  <c r="B99" i="20"/>
  <c r="C40" i="20"/>
  <c r="C44" i="20"/>
  <c r="C138" i="20"/>
  <c r="C140" i="20" s="1"/>
  <c r="D37" i="19"/>
  <c r="H37" i="19" s="1"/>
  <c r="D39" i="19"/>
  <c r="I36" i="19"/>
  <c r="C44" i="19"/>
  <c r="C138" i="19"/>
  <c r="C140" i="19" s="1"/>
  <c r="E44" i="19"/>
  <c r="E138" i="19"/>
  <c r="E140" i="19" s="1"/>
  <c r="D30" i="19"/>
  <c r="I30" i="19" s="1"/>
  <c r="D103" i="19"/>
  <c r="D100" i="19"/>
  <c r="M17" i="13" s="1"/>
  <c r="I29" i="19"/>
  <c r="C40" i="19"/>
  <c r="H29" i="19"/>
  <c r="C40" i="18"/>
  <c r="D30" i="18"/>
  <c r="I30" i="18" s="1"/>
  <c r="D103" i="18"/>
  <c r="D100" i="18"/>
  <c r="J17" i="13" s="1"/>
  <c r="D39" i="18"/>
  <c r="D37" i="18"/>
  <c r="I37" i="18" s="1"/>
  <c r="C44" i="18"/>
  <c r="C138" i="18"/>
  <c r="C140" i="18" s="1"/>
  <c r="E117" i="19" l="1"/>
  <c r="E122" i="19" s="1"/>
  <c r="E126" i="19" s="1"/>
  <c r="E141" i="19" s="1"/>
  <c r="E146" i="19" s="1"/>
  <c r="E41" i="19"/>
  <c r="N20" i="13" s="1"/>
  <c r="E40" i="18"/>
  <c r="E117" i="18" s="1"/>
  <c r="E122" i="18" s="1"/>
  <c r="E126" i="18" s="1"/>
  <c r="H29" i="20"/>
  <c r="H36" i="20"/>
  <c r="D138" i="20"/>
  <c r="D140" i="20" s="1"/>
  <c r="D44" i="20"/>
  <c r="H44" i="20" s="1"/>
  <c r="D37" i="20"/>
  <c r="H37" i="20" s="1"/>
  <c r="I36" i="20"/>
  <c r="I29" i="20"/>
  <c r="D103" i="20"/>
  <c r="D30" i="20"/>
  <c r="H30" i="20" s="1"/>
  <c r="I38" i="18"/>
  <c r="E113" i="18"/>
  <c r="E39" i="18"/>
  <c r="H30" i="19"/>
  <c r="H39" i="18"/>
  <c r="H30" i="18"/>
  <c r="B40" i="18"/>
  <c r="G37" i="18"/>
  <c r="H37" i="18"/>
  <c r="B44" i="19"/>
  <c r="G44" i="19" s="1"/>
  <c r="G37" i="19"/>
  <c r="B40" i="19"/>
  <c r="B44" i="18"/>
  <c r="G44" i="18" s="1"/>
  <c r="B100" i="20"/>
  <c r="B30" i="20"/>
  <c r="G30" i="20" s="1"/>
  <c r="G29" i="20"/>
  <c r="B103" i="20"/>
  <c r="B39" i="20"/>
  <c r="G36" i="20"/>
  <c r="B37" i="20"/>
  <c r="C41" i="20"/>
  <c r="C117" i="20"/>
  <c r="C122" i="20" s="1"/>
  <c r="C126" i="20" s="1"/>
  <c r="C141" i="20" s="1"/>
  <c r="C146" i="20" s="1"/>
  <c r="C97" i="20"/>
  <c r="I39" i="19"/>
  <c r="D44" i="19"/>
  <c r="I44" i="19" s="1"/>
  <c r="D138" i="19"/>
  <c r="D140" i="19" s="1"/>
  <c r="C41" i="19"/>
  <c r="L20" i="13" s="1"/>
  <c r="C117" i="19"/>
  <c r="C122" i="19" s="1"/>
  <c r="C126" i="19" s="1"/>
  <c r="C141" i="19" s="1"/>
  <c r="C146" i="19" s="1"/>
  <c r="C97" i="19"/>
  <c r="D40" i="19"/>
  <c r="I37" i="19"/>
  <c r="G40" i="19"/>
  <c r="H39" i="19"/>
  <c r="D44" i="18"/>
  <c r="D138" i="18"/>
  <c r="D140" i="18" s="1"/>
  <c r="C41" i="18"/>
  <c r="I20" i="13" s="1"/>
  <c r="C97" i="18"/>
  <c r="C117" i="18"/>
  <c r="C122" i="18" s="1"/>
  <c r="C126" i="18" s="1"/>
  <c r="C141" i="18" s="1"/>
  <c r="C146" i="18" s="1"/>
  <c r="D40" i="18"/>
  <c r="E42" i="19" l="1"/>
  <c r="E98" i="19" s="1"/>
  <c r="I40" i="18"/>
  <c r="E41" i="18"/>
  <c r="E97" i="18"/>
  <c r="I37" i="20"/>
  <c r="D40" i="20"/>
  <c r="D117" i="20" s="1"/>
  <c r="D122" i="20" s="1"/>
  <c r="D126" i="20" s="1"/>
  <c r="D141" i="20" s="1"/>
  <c r="D146" i="20" s="1"/>
  <c r="I30" i="20"/>
  <c r="E44" i="18"/>
  <c r="E138" i="18"/>
  <c r="E140" i="18" s="1"/>
  <c r="E141" i="18" s="1"/>
  <c r="E146" i="18" s="1"/>
  <c r="I39" i="18"/>
  <c r="I38" i="20"/>
  <c r="E113" i="20"/>
  <c r="E39" i="20"/>
  <c r="E40" i="20"/>
  <c r="H44" i="18"/>
  <c r="H40" i="18"/>
  <c r="B41" i="18"/>
  <c r="G40" i="18"/>
  <c r="B97" i="18"/>
  <c r="H44" i="19"/>
  <c r="B97" i="19"/>
  <c r="B41" i="19"/>
  <c r="G37" i="20"/>
  <c r="B40" i="20"/>
  <c r="G39" i="20"/>
  <c r="B44" i="20"/>
  <c r="G44" i="20" s="1"/>
  <c r="C42" i="20"/>
  <c r="D97" i="19"/>
  <c r="D117" i="19"/>
  <c r="D122" i="19" s="1"/>
  <c r="D126" i="19" s="1"/>
  <c r="D141" i="19" s="1"/>
  <c r="D146" i="19" s="1"/>
  <c r="I40" i="19"/>
  <c r="D41" i="19"/>
  <c r="M20" i="13" s="1"/>
  <c r="H40" i="19"/>
  <c r="C42" i="19"/>
  <c r="D97" i="18"/>
  <c r="D41" i="18"/>
  <c r="J20" i="13" s="1"/>
  <c r="D117" i="18"/>
  <c r="D122" i="18" s="1"/>
  <c r="D126" i="18" s="1"/>
  <c r="D141" i="18" s="1"/>
  <c r="D146" i="18" s="1"/>
  <c r="C42" i="18"/>
  <c r="E42" i="18" l="1"/>
  <c r="E98" i="18" s="1"/>
  <c r="K20" i="13"/>
  <c r="I41" i="18"/>
  <c r="I44" i="18"/>
  <c r="H40" i="20"/>
  <c r="D41" i="20"/>
  <c r="D42" i="20" s="1"/>
  <c r="H42" i="20" s="1"/>
  <c r="D97" i="20"/>
  <c r="E97" i="20"/>
  <c r="E41" i="20"/>
  <c r="E42" i="20" s="1"/>
  <c r="E98" i="20" s="1"/>
  <c r="E117" i="20"/>
  <c r="E122" i="20" s="1"/>
  <c r="E126" i="20" s="1"/>
  <c r="I40" i="20"/>
  <c r="I39" i="20"/>
  <c r="E44" i="20"/>
  <c r="I44" i="20" s="1"/>
  <c r="E138" i="20"/>
  <c r="E140" i="20" s="1"/>
  <c r="G41" i="18"/>
  <c r="B42" i="18"/>
  <c r="H41" i="18"/>
  <c r="G41" i="19"/>
  <c r="B42" i="19"/>
  <c r="G40" i="20"/>
  <c r="B41" i="20"/>
  <c r="B97" i="20"/>
  <c r="C98" i="20"/>
  <c r="D42" i="19"/>
  <c r="H42" i="19" s="1"/>
  <c r="I41" i="19"/>
  <c r="H41" i="19"/>
  <c r="C98" i="19"/>
  <c r="D42" i="18"/>
  <c r="C98" i="18"/>
  <c r="I42" i="18" l="1"/>
  <c r="D98" i="20"/>
  <c r="I42" i="20"/>
  <c r="H41" i="20"/>
  <c r="I41" i="20"/>
  <c r="E141" i="20"/>
  <c r="E146" i="20" s="1"/>
  <c r="G42" i="18"/>
  <c r="B98" i="18"/>
  <c r="H42" i="18"/>
  <c r="B98" i="19"/>
  <c r="G42" i="19"/>
  <c r="G41" i="20"/>
  <c r="B42" i="20"/>
  <c r="I42" i="19"/>
  <c r="D98" i="19"/>
  <c r="D98" i="18"/>
  <c r="B98" i="20" l="1"/>
  <c r="G42" i="20"/>
  <c r="E144" i="3" l="1"/>
  <c r="E143" i="3"/>
  <c r="E139" i="3"/>
  <c r="E137" i="3"/>
  <c r="E136" i="3"/>
  <c r="E132" i="3"/>
  <c r="E131" i="3"/>
  <c r="E127" i="3"/>
  <c r="E124" i="3"/>
  <c r="E121" i="3"/>
  <c r="E120" i="3"/>
  <c r="E119" i="3"/>
  <c r="E118" i="3"/>
  <c r="E85" i="3"/>
  <c r="E78" i="3"/>
  <c r="E75" i="3"/>
  <c r="E74" i="3"/>
  <c r="E60" i="3"/>
  <c r="E59" i="3"/>
  <c r="E51" i="3"/>
  <c r="E95" i="3"/>
  <c r="E115" i="3" s="1"/>
  <c r="E24" i="3"/>
  <c r="E9" i="3"/>
  <c r="E8" i="3"/>
  <c r="D144" i="3"/>
  <c r="C144" i="3"/>
  <c r="D143" i="3"/>
  <c r="C143" i="3"/>
  <c r="D139" i="3"/>
  <c r="C139" i="3"/>
  <c r="D137" i="3"/>
  <c r="C137" i="3"/>
  <c r="D136" i="3"/>
  <c r="C136" i="3"/>
  <c r="D132" i="3"/>
  <c r="C132" i="3"/>
  <c r="D131" i="3"/>
  <c r="C131" i="3"/>
  <c r="D127" i="3"/>
  <c r="C127" i="3"/>
  <c r="D124" i="3"/>
  <c r="C124" i="3"/>
  <c r="D121" i="3"/>
  <c r="C121" i="3"/>
  <c r="D120" i="3"/>
  <c r="C120" i="3"/>
  <c r="D119" i="3"/>
  <c r="C119" i="3"/>
  <c r="D118" i="3"/>
  <c r="C118" i="3"/>
  <c r="D85" i="3"/>
  <c r="C85" i="3"/>
  <c r="B85" i="3"/>
  <c r="D78" i="3"/>
  <c r="C78" i="3"/>
  <c r="B78" i="3"/>
  <c r="D75" i="3"/>
  <c r="C75" i="3"/>
  <c r="B75" i="3"/>
  <c r="D74" i="3"/>
  <c r="C74" i="3"/>
  <c r="B74" i="3"/>
  <c r="D60" i="3"/>
  <c r="C60" i="3"/>
  <c r="B60" i="3"/>
  <c r="D59" i="3"/>
  <c r="C59" i="3"/>
  <c r="B59" i="3"/>
  <c r="D51" i="3"/>
  <c r="C51" i="3"/>
  <c r="B51" i="3"/>
  <c r="D95" i="3"/>
  <c r="D115" i="3" s="1"/>
  <c r="C95" i="3"/>
  <c r="C115" i="3" s="1"/>
  <c r="B95" i="3"/>
  <c r="B115" i="3" s="1"/>
  <c r="D24" i="3"/>
  <c r="C24" i="3"/>
  <c r="B24" i="3"/>
  <c r="D9" i="3"/>
  <c r="C9" i="3"/>
  <c r="D8" i="3"/>
  <c r="C8" i="3"/>
  <c r="B8" i="3"/>
  <c r="I74" i="3" l="1"/>
  <c r="I60" i="3"/>
  <c r="G59" i="3"/>
  <c r="I85" i="3"/>
  <c r="H21" i="13"/>
  <c r="H23" i="13"/>
  <c r="G78" i="3"/>
  <c r="G75" i="3"/>
  <c r="G74" i="3"/>
  <c r="I24" i="3"/>
  <c r="I9" i="3"/>
  <c r="H75" i="3"/>
  <c r="H85" i="3"/>
  <c r="H78" i="3"/>
  <c r="H24" i="3"/>
  <c r="I75" i="3"/>
  <c r="G85" i="3"/>
  <c r="H60" i="3"/>
  <c r="H51" i="3"/>
  <c r="G51" i="3"/>
  <c r="I78" i="3"/>
  <c r="H74" i="3"/>
  <c r="H59" i="3"/>
  <c r="F21" i="13"/>
  <c r="F35" i="13" s="1"/>
  <c r="F23" i="13"/>
  <c r="F30" i="13" s="1"/>
  <c r="I59" i="3"/>
  <c r="G21" i="13"/>
  <c r="I35" i="13" s="1"/>
  <c r="G23" i="13"/>
  <c r="I30" i="13" s="1"/>
  <c r="G60" i="3"/>
  <c r="I51" i="3"/>
  <c r="G24" i="3"/>
  <c r="H9" i="3"/>
  <c r="G9" i="3"/>
  <c r="D17" i="3"/>
  <c r="D23" i="3" s="1"/>
  <c r="I8" i="3"/>
  <c r="B17" i="3"/>
  <c r="G8" i="3"/>
  <c r="H8" i="3"/>
  <c r="E17" i="3"/>
  <c r="E105" i="3"/>
  <c r="E106" i="3"/>
  <c r="E110" i="3"/>
  <c r="E109" i="3"/>
  <c r="E108" i="3"/>
  <c r="D105" i="3"/>
  <c r="D106" i="3"/>
  <c r="D110" i="3"/>
  <c r="D109" i="3"/>
  <c r="D108" i="3"/>
  <c r="D53" i="3"/>
  <c r="C105" i="3"/>
  <c r="C106" i="3"/>
  <c r="C17" i="3"/>
  <c r="C110" i="3"/>
  <c r="C109" i="3"/>
  <c r="C108" i="3"/>
  <c r="C53" i="3"/>
  <c r="B110" i="3"/>
  <c r="B109" i="3"/>
  <c r="B108" i="3"/>
  <c r="B53" i="3"/>
  <c r="B106" i="3"/>
  <c r="B105" i="3"/>
  <c r="E123" i="3"/>
  <c r="E66" i="3"/>
  <c r="B16" i="3"/>
  <c r="E53" i="3"/>
  <c r="H22" i="13" s="1"/>
  <c r="E65" i="3"/>
  <c r="D16" i="3"/>
  <c r="E130" i="3"/>
  <c r="E133" i="3" s="1"/>
  <c r="E92" i="3"/>
  <c r="E16" i="3"/>
  <c r="E125" i="3"/>
  <c r="B65" i="3"/>
  <c r="C16" i="3"/>
  <c r="C125" i="3"/>
  <c r="C66" i="3"/>
  <c r="C130" i="3"/>
  <c r="C133" i="3" s="1"/>
  <c r="D92" i="3"/>
  <c r="D130" i="3"/>
  <c r="D133" i="3" s="1"/>
  <c r="D123" i="3"/>
  <c r="B92" i="3"/>
  <c r="C65" i="3"/>
  <c r="C92" i="3"/>
  <c r="B66" i="3"/>
  <c r="D66" i="3"/>
  <c r="D125" i="3"/>
  <c r="D65" i="3"/>
  <c r="C123" i="3"/>
  <c r="G88" i="15"/>
  <c r="H36" i="13" l="1"/>
  <c r="H30" i="13"/>
  <c r="H35" i="13"/>
  <c r="E101" i="3"/>
  <c r="E23" i="3"/>
  <c r="E99" i="3" s="1"/>
  <c r="G53" i="3"/>
  <c r="I92" i="3"/>
  <c r="I65" i="3"/>
  <c r="E102" i="3"/>
  <c r="I16" i="3"/>
  <c r="H92" i="3"/>
  <c r="G65" i="3"/>
  <c r="G30" i="13"/>
  <c r="G35" i="13"/>
  <c r="H17" i="3"/>
  <c r="G92" i="3"/>
  <c r="H65" i="3"/>
  <c r="H66" i="3"/>
  <c r="G66" i="3"/>
  <c r="I66" i="3"/>
  <c r="I53" i="3"/>
  <c r="G22" i="13"/>
  <c r="I36" i="13" s="1"/>
  <c r="H53" i="3"/>
  <c r="F22" i="13"/>
  <c r="E112" i="3"/>
  <c r="H16" i="3"/>
  <c r="G17" i="3"/>
  <c r="D113" i="3"/>
  <c r="G16" i="3"/>
  <c r="I17" i="3"/>
  <c r="E107" i="3"/>
  <c r="D107" i="3"/>
  <c r="D101" i="3"/>
  <c r="D102" i="3"/>
  <c r="D112" i="3"/>
  <c r="C23" i="3"/>
  <c r="C107" i="3"/>
  <c r="C101" i="3"/>
  <c r="C102" i="3"/>
  <c r="C112" i="3"/>
  <c r="B101" i="3"/>
  <c r="B112" i="3"/>
  <c r="B102" i="3"/>
  <c r="D111" i="3"/>
  <c r="D99" i="3"/>
  <c r="B107" i="3"/>
  <c r="B23" i="3"/>
  <c r="E93" i="3"/>
  <c r="B93" i="3"/>
  <c r="D93" i="3"/>
  <c r="C93" i="3"/>
  <c r="D29" i="3"/>
  <c r="D36" i="3"/>
  <c r="H40" i="13" l="1"/>
  <c r="I23" i="3"/>
  <c r="E36" i="3"/>
  <c r="I36" i="3" s="1"/>
  <c r="E29" i="3"/>
  <c r="H18" i="13" s="1"/>
  <c r="H28" i="13" s="1"/>
  <c r="H41" i="13" s="1"/>
  <c r="E111" i="3"/>
  <c r="H39" i="13"/>
  <c r="E113" i="3"/>
  <c r="I39" i="13"/>
  <c r="G36" i="13"/>
  <c r="G39" i="13" s="1"/>
  <c r="H58" i="13" s="1"/>
  <c r="H56" i="13"/>
  <c r="F36" i="13"/>
  <c r="F39" i="13" s="1"/>
  <c r="B36" i="3"/>
  <c r="B39" i="3" s="1"/>
  <c r="B113" i="3"/>
  <c r="G23" i="3"/>
  <c r="C99" i="3"/>
  <c r="C113" i="3"/>
  <c r="H23" i="3"/>
  <c r="G18" i="13"/>
  <c r="C111" i="3"/>
  <c r="C36" i="3"/>
  <c r="C29" i="3"/>
  <c r="D103" i="3"/>
  <c r="D100" i="3"/>
  <c r="G17" i="13" s="1"/>
  <c r="B29" i="3"/>
  <c r="B111" i="3"/>
  <c r="B99" i="3"/>
  <c r="D30" i="3"/>
  <c r="D37" i="3"/>
  <c r="D39" i="3"/>
  <c r="E39" i="3" l="1"/>
  <c r="I39" i="3" s="1"/>
  <c r="E100" i="3"/>
  <c r="H17" i="13" s="1"/>
  <c r="E30" i="3"/>
  <c r="I30" i="3" s="1"/>
  <c r="E37" i="3"/>
  <c r="I37" i="3" s="1"/>
  <c r="H29" i="13"/>
  <c r="I29" i="3"/>
  <c r="E103" i="3"/>
  <c r="B37" i="3"/>
  <c r="B40" i="3" s="1"/>
  <c r="G40" i="13"/>
  <c r="J10" i="14"/>
  <c r="K10" i="14" s="1"/>
  <c r="G28" i="13"/>
  <c r="G29" i="13" s="1"/>
  <c r="J12" i="14" s="1"/>
  <c r="K12" i="14" s="1"/>
  <c r="J13" i="14"/>
  <c r="K13" i="14" s="1"/>
  <c r="C100" i="3"/>
  <c r="F17" i="13" s="1"/>
  <c r="H29" i="3"/>
  <c r="F18" i="13"/>
  <c r="F28" i="13" s="1"/>
  <c r="C37" i="3"/>
  <c r="H37" i="3" s="1"/>
  <c r="H36" i="3"/>
  <c r="B103" i="3"/>
  <c r="G29" i="3"/>
  <c r="G36" i="3"/>
  <c r="C39" i="3"/>
  <c r="H39" i="3" s="1"/>
  <c r="C30" i="3"/>
  <c r="H30" i="3" s="1"/>
  <c r="C103" i="3"/>
  <c r="B30" i="3"/>
  <c r="B100" i="3"/>
  <c r="B44" i="3"/>
  <c r="D40" i="3"/>
  <c r="D44" i="3"/>
  <c r="D138" i="3"/>
  <c r="D140" i="3" s="1"/>
  <c r="J39" i="14"/>
  <c r="E44" i="3" l="1"/>
  <c r="E138" i="3"/>
  <c r="E140" i="3" s="1"/>
  <c r="E40" i="3"/>
  <c r="E41" i="3" s="1"/>
  <c r="H20" i="13" s="1"/>
  <c r="C40" i="3"/>
  <c r="C97" i="3" s="1"/>
  <c r="I44" i="3"/>
  <c r="G41" i="13"/>
  <c r="I29" i="13"/>
  <c r="I41" i="13"/>
  <c r="H55" i="13"/>
  <c r="D41" i="3"/>
  <c r="G20" i="13" s="1"/>
  <c r="F29" i="13"/>
  <c r="F41" i="13"/>
  <c r="G37" i="3"/>
  <c r="G30" i="3"/>
  <c r="G39" i="3"/>
  <c r="B97" i="3"/>
  <c r="D117" i="3"/>
  <c r="D122" i="3" s="1"/>
  <c r="D126" i="3" s="1"/>
  <c r="D141" i="3" s="1"/>
  <c r="D146" i="3" s="1"/>
  <c r="C138" i="3"/>
  <c r="C140" i="3" s="1"/>
  <c r="C44" i="3"/>
  <c r="H44" i="3" s="1"/>
  <c r="D97" i="3"/>
  <c r="B41" i="3"/>
  <c r="G107" i="16"/>
  <c r="B100" i="16"/>
  <c r="B99" i="16"/>
  <c r="B98" i="16"/>
  <c r="B97" i="16"/>
  <c r="B96" i="16"/>
  <c r="B95" i="16"/>
  <c r="B94" i="16"/>
  <c r="B93" i="16"/>
  <c r="B92" i="16"/>
  <c r="B91" i="16"/>
  <c r="B90" i="16"/>
  <c r="B77" i="16"/>
  <c r="B76" i="16"/>
  <c r="B72" i="16"/>
  <c r="E68" i="16"/>
  <c r="B68" i="16"/>
  <c r="E67" i="16"/>
  <c r="B67" i="16"/>
  <c r="E66" i="16"/>
  <c r="B66" i="16"/>
  <c r="B60" i="16"/>
  <c r="B59" i="16"/>
  <c r="B58" i="16"/>
  <c r="B57" i="16"/>
  <c r="B56" i="16"/>
  <c r="B55" i="16"/>
  <c r="B54" i="16"/>
  <c r="B53" i="16"/>
  <c r="B52" i="16"/>
  <c r="B51" i="16"/>
  <c r="C117" i="3" l="1"/>
  <c r="C122" i="3" s="1"/>
  <c r="C126" i="3" s="1"/>
  <c r="C141" i="3" s="1"/>
  <c r="C146" i="3" s="1"/>
  <c r="I40" i="3"/>
  <c r="E97" i="3"/>
  <c r="G40" i="3"/>
  <c r="E117" i="3"/>
  <c r="E122" i="3" s="1"/>
  <c r="E126" i="3" s="1"/>
  <c r="E141" i="3" s="1"/>
  <c r="E146" i="3" s="1"/>
  <c r="C41" i="3"/>
  <c r="F20" i="13" s="1"/>
  <c r="H57" i="13" s="1"/>
  <c r="H40" i="3"/>
  <c r="G44" i="3"/>
  <c r="D42" i="3"/>
  <c r="D98" i="3" s="1"/>
  <c r="I41" i="3"/>
  <c r="E42" i="3"/>
  <c r="B42" i="3"/>
  <c r="E5" i="16"/>
  <c r="E6" i="16"/>
  <c r="E9" i="16"/>
  <c r="B42" i="16"/>
  <c r="B41" i="16"/>
  <c r="B40" i="16"/>
  <c r="B39" i="16"/>
  <c r="B38" i="16"/>
  <c r="B37" i="16"/>
  <c r="B36" i="16"/>
  <c r="B35" i="16"/>
  <c r="B34" i="16"/>
  <c r="B33" i="16"/>
  <c r="I27" i="16"/>
  <c r="G27" i="16"/>
  <c r="F27" i="16"/>
  <c r="B27" i="16"/>
  <c r="I26" i="16"/>
  <c r="G26" i="16"/>
  <c r="F26" i="16"/>
  <c r="B26" i="16"/>
  <c r="I25" i="16"/>
  <c r="G25" i="16"/>
  <c r="F25" i="16"/>
  <c r="B25" i="16"/>
  <c r="I24" i="16"/>
  <c r="G24" i="16"/>
  <c r="F24" i="16"/>
  <c r="B24" i="16"/>
  <c r="I23" i="16"/>
  <c r="G23" i="16"/>
  <c r="F23" i="16"/>
  <c r="B23" i="16"/>
  <c r="I22" i="16"/>
  <c r="G22" i="16"/>
  <c r="F22" i="16"/>
  <c r="B22" i="16"/>
  <c r="I21" i="16"/>
  <c r="G21" i="16"/>
  <c r="F21" i="16"/>
  <c r="B21" i="16"/>
  <c r="I20" i="16"/>
  <c r="G20" i="16"/>
  <c r="F20" i="16"/>
  <c r="B20" i="16"/>
  <c r="I19" i="16"/>
  <c r="G19" i="16"/>
  <c r="F19" i="16"/>
  <c r="B19" i="16"/>
  <c r="I18" i="16"/>
  <c r="G18" i="16"/>
  <c r="F18" i="16"/>
  <c r="B18" i="16"/>
  <c r="J6" i="16"/>
  <c r="J88" i="15"/>
  <c r="B75" i="15"/>
  <c r="B72" i="15"/>
  <c r="B71" i="15"/>
  <c r="B70" i="15"/>
  <c r="B69" i="15"/>
  <c r="B68" i="15"/>
  <c r="B67" i="15"/>
  <c r="B66" i="15"/>
  <c r="B65" i="15"/>
  <c r="B64" i="15"/>
  <c r="B63" i="15"/>
  <c r="B62" i="15"/>
  <c r="B56" i="15"/>
  <c r="B55" i="15"/>
  <c r="I39" i="15"/>
  <c r="I38" i="15"/>
  <c r="I37" i="15"/>
  <c r="I36" i="15"/>
  <c r="I35" i="15"/>
  <c r="I34" i="15"/>
  <c r="I33" i="15"/>
  <c r="I32" i="15"/>
  <c r="I31" i="15"/>
  <c r="G39" i="15"/>
  <c r="G38" i="15"/>
  <c r="G37" i="15"/>
  <c r="G36" i="15"/>
  <c r="G35" i="15"/>
  <c r="G34" i="15"/>
  <c r="G33" i="15"/>
  <c r="G32" i="15"/>
  <c r="G31" i="15"/>
  <c r="F39" i="15"/>
  <c r="F38" i="15"/>
  <c r="F37" i="15"/>
  <c r="F36" i="15"/>
  <c r="F35" i="15"/>
  <c r="F34" i="15"/>
  <c r="F33" i="15"/>
  <c r="F32" i="15"/>
  <c r="F31" i="15"/>
  <c r="B39" i="15"/>
  <c r="B38" i="15"/>
  <c r="B37" i="15"/>
  <c r="B36" i="15"/>
  <c r="B35" i="15"/>
  <c r="B34" i="15"/>
  <c r="B33" i="15"/>
  <c r="B32" i="15"/>
  <c r="B31" i="15"/>
  <c r="I30" i="15"/>
  <c r="G30" i="15"/>
  <c r="F30" i="15"/>
  <c r="B30" i="15"/>
  <c r="E9" i="15"/>
  <c r="E5" i="15"/>
  <c r="C42" i="3" l="1"/>
  <c r="H42" i="3" s="1"/>
  <c r="H41" i="3"/>
  <c r="G41" i="3"/>
  <c r="I42" i="3"/>
  <c r="B98" i="3"/>
  <c r="E98" i="3"/>
  <c r="J6" i="15"/>
  <c r="E6" i="15"/>
  <c r="J28" i="14"/>
  <c r="K28" i="14" s="1"/>
  <c r="J26" i="14"/>
  <c r="J25" i="14"/>
  <c r="C98" i="3" l="1"/>
  <c r="G42" i="3"/>
  <c r="K25" i="14"/>
  <c r="K26" i="14"/>
  <c r="K39" i="14"/>
  <c r="I13" i="13"/>
  <c r="L13" i="13"/>
  <c r="E7" i="13"/>
  <c r="M4" i="13"/>
  <c r="M3" i="13"/>
  <c r="D4" i="13"/>
  <c r="D3" i="13"/>
  <c r="D2" i="13"/>
  <c r="F13" i="13" l="1"/>
  <c r="J30" i="14" l="1"/>
  <c r="K30" i="14" s="1"/>
  <c r="J33" i="9" l="1"/>
  <c r="I33" i="9"/>
  <c r="D22" i="9"/>
  <c r="D21" i="9"/>
  <c r="D20" i="9"/>
  <c r="D19" i="9"/>
  <c r="D18" i="9"/>
  <c r="D17" i="9"/>
  <c r="D16" i="9"/>
  <c r="D15" i="9"/>
  <c r="D14" i="9"/>
  <c r="D13" i="9"/>
  <c r="D12" i="9"/>
  <c r="D11" i="9"/>
  <c r="D10" i="9"/>
  <c r="D9" i="9"/>
  <c r="D8" i="9"/>
  <c r="D7" i="9"/>
  <c r="D6" i="9"/>
  <c r="D5" i="9"/>
  <c r="D4" i="9"/>
  <c r="L32" i="9"/>
  <c r="M32" i="9" s="1"/>
  <c r="N32" i="9" s="1"/>
  <c r="L31" i="9"/>
  <c r="M31" i="9" s="1"/>
  <c r="N31" i="9" s="1"/>
  <c r="L30" i="9"/>
  <c r="M30" i="9" s="1"/>
  <c r="N30" i="9" s="1"/>
  <c r="L29" i="9"/>
  <c r="M29" i="9" s="1"/>
  <c r="N29" i="9" s="1"/>
  <c r="L28" i="9"/>
  <c r="M28" i="9" s="1"/>
  <c r="N28" i="9" s="1"/>
  <c r="L27" i="9"/>
  <c r="M27" i="9" s="1"/>
  <c r="N27" i="9" s="1"/>
  <c r="L26" i="9"/>
  <c r="M26" i="9" s="1"/>
  <c r="N26" i="9" s="1"/>
  <c r="L25" i="9"/>
  <c r="M25" i="9" s="1"/>
  <c r="N25" i="9" s="1"/>
  <c r="L24" i="9"/>
  <c r="M24" i="9" s="1"/>
  <c r="N24" i="9" s="1"/>
  <c r="L23" i="9"/>
  <c r="M23" i="9" s="1"/>
  <c r="N23" i="9" s="1"/>
  <c r="L22" i="9"/>
  <c r="M22" i="9" s="1"/>
  <c r="N22" i="9" s="1"/>
  <c r="L21" i="9"/>
  <c r="M21" i="9" s="1"/>
  <c r="N21" i="9" s="1"/>
  <c r="L20" i="9"/>
  <c r="L19" i="9"/>
  <c r="L18" i="9"/>
  <c r="L17" i="9"/>
  <c r="L16" i="9"/>
  <c r="L15" i="9"/>
  <c r="L14" i="9"/>
  <c r="L13" i="9"/>
  <c r="L12" i="9"/>
  <c r="L11" i="9"/>
  <c r="L10" i="9"/>
  <c r="L9" i="9"/>
  <c r="L8" i="9"/>
  <c r="L7" i="9"/>
  <c r="L6" i="9"/>
  <c r="L5" i="9"/>
  <c r="B121" i="8"/>
  <c r="B120" i="8"/>
  <c r="B119" i="8"/>
  <c r="B118" i="8"/>
  <c r="B117" i="8"/>
  <c r="B116" i="8"/>
  <c r="B115" i="8"/>
  <c r="B114" i="8"/>
  <c r="B113" i="8"/>
  <c r="B112" i="8"/>
  <c r="C48" i="23" l="1"/>
  <c r="C49" i="23" s="1"/>
  <c r="C51" i="23" s="1"/>
  <c r="E36" i="9"/>
  <c r="D38" i="9"/>
  <c r="D36" i="9"/>
  <c r="E37" i="9"/>
  <c r="D37" i="9"/>
  <c r="E38" i="9"/>
  <c r="D48" i="23" l="1"/>
  <c r="D49" i="23" s="1"/>
  <c r="D51" i="23" s="1"/>
  <c r="E39" i="9"/>
  <c r="D39" i="9"/>
  <c r="L11" i="1" s="1"/>
  <c r="D65" i="10"/>
  <c r="D64" i="10"/>
  <c r="D63" i="10"/>
  <c r="D7" i="1" l="1"/>
  <c r="M2" i="13" s="1"/>
  <c r="F48" i="23"/>
  <c r="F49" i="23" s="1"/>
  <c r="F51" i="23" s="1"/>
  <c r="E48" i="23"/>
  <c r="E49" i="23" s="1"/>
  <c r="E51" i="23" s="1"/>
  <c r="P42" i="1"/>
  <c r="L43" i="1" s="1"/>
  <c r="E44" i="1" s="1"/>
  <c r="D5" i="13" s="1"/>
  <c r="K44" i="1"/>
  <c r="D6" i="13" s="1"/>
  <c r="B39" i="1" l="1"/>
  <c r="B38" i="1"/>
  <c r="B37" i="1"/>
  <c r="B36" i="1"/>
  <c r="B35" i="1"/>
  <c r="B34" i="1"/>
  <c r="B33" i="1"/>
  <c r="B32" i="1"/>
  <c r="B31" i="1"/>
  <c r="B30" i="1"/>
  <c r="J24" i="14" l="1"/>
  <c r="K24" i="14" s="1"/>
  <c r="M20" i="9" l="1"/>
  <c r="N20" i="9" s="1"/>
  <c r="M19" i="9"/>
  <c r="N19" i="9" s="1"/>
  <c r="M18" i="9"/>
  <c r="N18" i="9" s="1"/>
  <c r="M17" i="9"/>
  <c r="N17" i="9" s="1"/>
  <c r="M16" i="9"/>
  <c r="N16" i="9" s="1"/>
  <c r="M15" i="9"/>
  <c r="N15" i="9" s="1"/>
  <c r="M14" i="9"/>
  <c r="N14" i="9" s="1"/>
  <c r="M13" i="9"/>
  <c r="N13" i="9" s="1"/>
  <c r="M12" i="9"/>
  <c r="N12" i="9" s="1"/>
  <c r="M11" i="9"/>
  <c r="N11" i="9" s="1"/>
  <c r="M10" i="9"/>
  <c r="N10" i="9" s="1"/>
  <c r="M9" i="9"/>
  <c r="N9" i="9" s="1"/>
  <c r="M8" i="9"/>
  <c r="N8" i="9" s="1"/>
  <c r="M7" i="9"/>
  <c r="N7" i="9" s="1"/>
  <c r="M6" i="9"/>
  <c r="N6" i="9" s="1"/>
  <c r="M5" i="9"/>
  <c r="N5" i="9" s="1"/>
  <c r="L4" i="9"/>
  <c r="L3" i="9"/>
  <c r="F38" i="9" l="1"/>
  <c r="M3" i="9"/>
  <c r="N3" i="9" s="1"/>
  <c r="F36" i="9"/>
  <c r="L33" i="9"/>
  <c r="K33" i="9" s="1"/>
  <c r="M4" i="9"/>
  <c r="N4" i="9" s="1"/>
  <c r="F37" i="9"/>
  <c r="J121" i="8"/>
  <c r="J120" i="8"/>
  <c r="J119" i="8"/>
  <c r="J118" i="8"/>
  <c r="J117" i="8"/>
  <c r="J116" i="8"/>
  <c r="I107" i="8"/>
  <c r="G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4" i="8"/>
  <c r="S33" i="8"/>
  <c r="S32" i="8"/>
  <c r="AJ8" i="8"/>
  <c r="W7" i="8"/>
  <c r="X7" i="8" s="1"/>
  <c r="Y7" i="8" s="1"/>
  <c r="Z7" i="8" s="1"/>
  <c r="AA7" i="8" s="1"/>
  <c r="AB7" i="8" s="1"/>
  <c r="AC7" i="8" s="1"/>
  <c r="AD7" i="8" s="1"/>
  <c r="AE7" i="8" s="1"/>
  <c r="AF7" i="8" s="1"/>
  <c r="AG7" i="8" s="1"/>
  <c r="J126" i="7"/>
  <c r="I126" i="7"/>
  <c r="H126" i="7"/>
  <c r="G126" i="7"/>
  <c r="C126" i="7"/>
  <c r="M125" i="7"/>
  <c r="L125" i="7"/>
  <c r="K125" i="7"/>
  <c r="J125" i="7"/>
  <c r="I125" i="7"/>
  <c r="H125" i="7"/>
  <c r="G125" i="7"/>
  <c r="C125" i="7"/>
  <c r="C127" i="7" s="1"/>
  <c r="J107" i="7"/>
  <c r="I107" i="7"/>
  <c r="H107" i="7"/>
  <c r="G107" i="7"/>
  <c r="C107" i="7"/>
  <c r="M106" i="7"/>
  <c r="L106" i="7"/>
  <c r="K106" i="7"/>
  <c r="J106" i="7"/>
  <c r="I106" i="7"/>
  <c r="H106" i="7"/>
  <c r="G106" i="7"/>
  <c r="C106" i="7"/>
  <c r="C108" i="7" s="1"/>
  <c r="J88" i="7"/>
  <c r="I88" i="7"/>
  <c r="H88" i="7"/>
  <c r="G88" i="7"/>
  <c r="C88" i="7"/>
  <c r="M87" i="7"/>
  <c r="L87" i="7"/>
  <c r="K87" i="7"/>
  <c r="J87" i="7"/>
  <c r="I87" i="7"/>
  <c r="H87" i="7"/>
  <c r="G87" i="7"/>
  <c r="C87" i="7"/>
  <c r="C89" i="7" s="1"/>
  <c r="J69" i="7"/>
  <c r="I69" i="7"/>
  <c r="H69" i="7"/>
  <c r="G69" i="7"/>
  <c r="C69" i="7"/>
  <c r="M68" i="7"/>
  <c r="L68" i="7"/>
  <c r="K68" i="7"/>
  <c r="J68" i="7"/>
  <c r="I68" i="7"/>
  <c r="H68" i="7"/>
  <c r="G68" i="7"/>
  <c r="C68" i="7"/>
  <c r="C70" i="7" s="1"/>
  <c r="J50" i="7"/>
  <c r="I50" i="7"/>
  <c r="H50" i="7"/>
  <c r="G50" i="7"/>
  <c r="C50" i="7"/>
  <c r="M49" i="7"/>
  <c r="L49" i="7"/>
  <c r="K49" i="7"/>
  <c r="J49" i="7"/>
  <c r="I49" i="7"/>
  <c r="H49" i="7"/>
  <c r="G49" i="7"/>
  <c r="C49" i="7"/>
  <c r="C51" i="7" s="1"/>
  <c r="H4" i="3"/>
  <c r="H47" i="3" s="1"/>
  <c r="H68" i="3" s="1"/>
  <c r="AR33" i="8" l="1"/>
  <c r="AS33" i="8" s="1"/>
  <c r="AR34" i="8"/>
  <c r="AS34" i="8" s="1"/>
  <c r="AR36" i="8"/>
  <c r="AS36" i="8" s="1"/>
  <c r="AR38" i="8"/>
  <c r="AS38" i="8" s="1"/>
  <c r="AR40" i="8"/>
  <c r="AS40" i="8" s="1"/>
  <c r="AR42" i="8"/>
  <c r="AS42" i="8" s="1"/>
  <c r="AR44" i="8"/>
  <c r="AS44" i="8" s="1"/>
  <c r="AR46" i="8"/>
  <c r="AS46" i="8" s="1"/>
  <c r="AR48" i="8"/>
  <c r="AS48" i="8" s="1"/>
  <c r="AR50" i="8"/>
  <c r="AS50" i="8" s="1"/>
  <c r="AR52" i="8"/>
  <c r="AS52" i="8" s="1"/>
  <c r="AR54" i="8"/>
  <c r="AS54" i="8" s="1"/>
  <c r="AR56" i="8"/>
  <c r="AS56" i="8" s="1"/>
  <c r="AR58" i="8"/>
  <c r="AS58" i="8" s="1"/>
  <c r="AR60" i="8"/>
  <c r="AS60" i="8" s="1"/>
  <c r="AR62" i="8"/>
  <c r="AS62" i="8" s="1"/>
  <c r="AR64" i="8"/>
  <c r="AS64" i="8" s="1"/>
  <c r="AR66" i="8"/>
  <c r="AS66" i="8" s="1"/>
  <c r="AR68" i="8"/>
  <c r="AS68" i="8" s="1"/>
  <c r="AR70" i="8"/>
  <c r="AS70" i="8" s="1"/>
  <c r="AR72" i="8"/>
  <c r="AS72" i="8" s="1"/>
  <c r="AR74" i="8"/>
  <c r="AS74" i="8" s="1"/>
  <c r="AR76" i="8"/>
  <c r="AS76" i="8" s="1"/>
  <c r="AR78" i="8"/>
  <c r="AS78" i="8" s="1"/>
  <c r="AR80" i="8"/>
  <c r="AS80" i="8" s="1"/>
  <c r="AR82" i="8"/>
  <c r="AS82" i="8" s="1"/>
  <c r="AR84" i="8"/>
  <c r="AS84" i="8" s="1"/>
  <c r="AR86" i="8"/>
  <c r="AS86" i="8" s="1"/>
  <c r="AR88" i="8"/>
  <c r="AS88" i="8" s="1"/>
  <c r="AR90" i="8"/>
  <c r="AS90" i="8" s="1"/>
  <c r="AR92" i="8"/>
  <c r="AS92" i="8" s="1"/>
  <c r="AR94" i="8"/>
  <c r="AS94" i="8" s="1"/>
  <c r="AR96" i="8"/>
  <c r="AS96" i="8" s="1"/>
  <c r="AR98" i="8"/>
  <c r="AS98" i="8" s="1"/>
  <c r="AR100" i="8"/>
  <c r="AS100" i="8" s="1"/>
  <c r="AR102" i="8"/>
  <c r="AS102" i="8" s="1"/>
  <c r="AR104" i="8"/>
  <c r="AS104" i="8" s="1"/>
  <c r="AR106" i="8"/>
  <c r="AS106" i="8" s="1"/>
  <c r="AR32" i="8"/>
  <c r="AS32" i="8" s="1"/>
  <c r="AR35" i="8"/>
  <c r="AS35" i="8" s="1"/>
  <c r="AR37" i="8"/>
  <c r="AS37" i="8" s="1"/>
  <c r="AR39" i="8"/>
  <c r="AS39" i="8" s="1"/>
  <c r="AR41" i="8"/>
  <c r="AS41" i="8" s="1"/>
  <c r="AR43" i="8"/>
  <c r="AS43" i="8" s="1"/>
  <c r="AR45" i="8"/>
  <c r="AS45" i="8" s="1"/>
  <c r="AR47" i="8"/>
  <c r="AS47" i="8" s="1"/>
  <c r="AR49" i="8"/>
  <c r="AS49" i="8" s="1"/>
  <c r="AR51" i="8"/>
  <c r="AS51" i="8" s="1"/>
  <c r="AR53" i="8"/>
  <c r="AS53" i="8" s="1"/>
  <c r="AR55" i="8"/>
  <c r="AS55" i="8" s="1"/>
  <c r="AR57" i="8"/>
  <c r="AS57" i="8" s="1"/>
  <c r="AR59" i="8"/>
  <c r="AS59" i="8" s="1"/>
  <c r="AR61" i="8"/>
  <c r="AS61" i="8" s="1"/>
  <c r="AR63" i="8"/>
  <c r="AS63" i="8" s="1"/>
  <c r="AR65" i="8"/>
  <c r="AS65" i="8" s="1"/>
  <c r="AR67" i="8"/>
  <c r="AS67" i="8" s="1"/>
  <c r="AR69" i="8"/>
  <c r="AS69" i="8" s="1"/>
  <c r="AR71" i="8"/>
  <c r="AS71" i="8" s="1"/>
  <c r="AR73" i="8"/>
  <c r="AS73" i="8" s="1"/>
  <c r="AR75" i="8"/>
  <c r="AS75" i="8" s="1"/>
  <c r="AR77" i="8"/>
  <c r="AS77" i="8" s="1"/>
  <c r="AR79" i="8"/>
  <c r="AS79" i="8" s="1"/>
  <c r="AR81" i="8"/>
  <c r="AS81" i="8" s="1"/>
  <c r="AR83" i="8"/>
  <c r="AS83" i="8" s="1"/>
  <c r="AR85" i="8"/>
  <c r="AS85" i="8" s="1"/>
  <c r="AR87" i="8"/>
  <c r="AS87" i="8" s="1"/>
  <c r="AR89" i="8"/>
  <c r="AS89" i="8" s="1"/>
  <c r="AR91" i="8"/>
  <c r="AS91" i="8" s="1"/>
  <c r="AR93" i="8"/>
  <c r="AS93" i="8" s="1"/>
  <c r="AR95" i="8"/>
  <c r="AS95" i="8" s="1"/>
  <c r="AR97" i="8"/>
  <c r="AS97" i="8" s="1"/>
  <c r="AR99" i="8"/>
  <c r="AS99" i="8" s="1"/>
  <c r="AR101" i="8"/>
  <c r="AS101" i="8" s="1"/>
  <c r="AR103" i="8"/>
  <c r="AS103" i="8" s="1"/>
  <c r="AR105" i="8"/>
  <c r="AS105" i="8" s="1"/>
  <c r="AL25" i="8"/>
  <c r="R25" i="8"/>
  <c r="AJ25" i="8"/>
  <c r="AP25" i="8"/>
  <c r="AI25" i="8"/>
  <c r="AN25" i="8"/>
  <c r="AJ22" i="8"/>
  <c r="AL22" i="8"/>
  <c r="AP22" i="8"/>
  <c r="AI22" i="8"/>
  <c r="R22" i="8"/>
  <c r="AN22" i="8"/>
  <c r="AN24" i="8"/>
  <c r="AP24" i="8"/>
  <c r="AL24" i="8"/>
  <c r="R24" i="8"/>
  <c r="AI24" i="8"/>
  <c r="AJ24" i="8"/>
  <c r="AN28" i="8"/>
  <c r="AL28" i="8"/>
  <c r="R28" i="8"/>
  <c r="AI28" i="8"/>
  <c r="AJ28" i="8"/>
  <c r="AP28" i="8"/>
  <c r="AP31" i="8"/>
  <c r="AI31" i="8"/>
  <c r="AJ31" i="8"/>
  <c r="AN31" i="8"/>
  <c r="AL31" i="8"/>
  <c r="R31" i="8"/>
  <c r="AL29" i="8"/>
  <c r="R29" i="8"/>
  <c r="AN29" i="8"/>
  <c r="AJ29" i="8"/>
  <c r="AP29" i="8"/>
  <c r="AI29" i="8"/>
  <c r="AP23" i="8"/>
  <c r="AI23" i="8"/>
  <c r="AN23" i="8"/>
  <c r="AL23" i="8"/>
  <c r="R23" i="8"/>
  <c r="AJ23" i="8"/>
  <c r="AJ26" i="8"/>
  <c r="AP26" i="8"/>
  <c r="AI26" i="8"/>
  <c r="AN26" i="8"/>
  <c r="AL26" i="8"/>
  <c r="R26" i="8"/>
  <c r="AP27" i="8"/>
  <c r="AI27" i="8"/>
  <c r="AJ27" i="8"/>
  <c r="AN27" i="8"/>
  <c r="AL27" i="8"/>
  <c r="R27" i="8"/>
  <c r="AJ30" i="8"/>
  <c r="R30" i="8"/>
  <c r="AP30" i="8"/>
  <c r="AI30" i="8"/>
  <c r="AN30" i="8"/>
  <c r="AL30" i="8"/>
  <c r="AL20" i="8"/>
  <c r="AP20" i="8"/>
  <c r="AI20" i="8"/>
  <c r="AN20" i="8"/>
  <c r="AJ20" i="8"/>
  <c r="AP18" i="8"/>
  <c r="AI18" i="8"/>
  <c r="AN18" i="8"/>
  <c r="R18" i="8"/>
  <c r="AL18" i="8"/>
  <c r="AJ18" i="8"/>
  <c r="AL21" i="8"/>
  <c r="AJ21" i="8"/>
  <c r="AP21" i="8"/>
  <c r="AI21" i="8"/>
  <c r="AN21" i="8"/>
  <c r="R21" i="8"/>
  <c r="AP14" i="8"/>
  <c r="AI14" i="8"/>
  <c r="AN14" i="8"/>
  <c r="R14" i="8"/>
  <c r="AL14" i="8"/>
  <c r="AJ14" i="8"/>
  <c r="AL16" i="8"/>
  <c r="AJ16" i="8"/>
  <c r="AP16" i="8"/>
  <c r="AI16" i="8"/>
  <c r="AN16" i="8"/>
  <c r="R16" i="8"/>
  <c r="AN15" i="8"/>
  <c r="R15" i="8"/>
  <c r="AL15" i="8"/>
  <c r="AJ15" i="8"/>
  <c r="AP15" i="8"/>
  <c r="AQ15" i="8" s="1"/>
  <c r="AI15" i="8"/>
  <c r="AJ17" i="8"/>
  <c r="AP17" i="8"/>
  <c r="AI17" i="8"/>
  <c r="AN17" i="8"/>
  <c r="AL17" i="8"/>
  <c r="AJ13" i="8"/>
  <c r="AP13" i="8"/>
  <c r="AI13" i="8"/>
  <c r="AN13" i="8"/>
  <c r="AL13" i="8"/>
  <c r="AL12" i="8"/>
  <c r="AJ12" i="8"/>
  <c r="AR12" i="8"/>
  <c r="AP12" i="8"/>
  <c r="AI12" i="8"/>
  <c r="AN12" i="8"/>
  <c r="AL11" i="8"/>
  <c r="AP11" i="8"/>
  <c r="AN11" i="8"/>
  <c r="AJ11" i="8"/>
  <c r="AI11" i="8"/>
  <c r="R11" i="8"/>
  <c r="R10" i="8"/>
  <c r="AN10" i="8"/>
  <c r="AI10" i="8"/>
  <c r="AP10" i="8"/>
  <c r="AL10" i="8"/>
  <c r="AJ10" i="8"/>
  <c r="AL19" i="8"/>
  <c r="R19" i="8"/>
  <c r="AJ19" i="8"/>
  <c r="AP19" i="8"/>
  <c r="AI19" i="8"/>
  <c r="AN19" i="8"/>
  <c r="AL9" i="8"/>
  <c r="AJ9" i="8"/>
  <c r="R9" i="8"/>
  <c r="AP9" i="8"/>
  <c r="AI9" i="8"/>
  <c r="AN9" i="8"/>
  <c r="G38" i="9"/>
  <c r="AP8" i="8"/>
  <c r="AI8" i="8"/>
  <c r="AK8" i="8" s="1"/>
  <c r="AN8" i="8"/>
  <c r="AL8" i="8"/>
  <c r="AM8" i="8" s="1"/>
  <c r="J51" i="7"/>
  <c r="I89" i="7"/>
  <c r="I108" i="7"/>
  <c r="J127" i="7"/>
  <c r="I70" i="7"/>
  <c r="I32" i="7"/>
  <c r="J89" i="7"/>
  <c r="J15" i="13"/>
  <c r="M15" i="13" s="1"/>
  <c r="G26" i="13"/>
  <c r="I26" i="13" s="1"/>
  <c r="L7" i="1"/>
  <c r="F39" i="9"/>
  <c r="J70" i="7"/>
  <c r="G37" i="9"/>
  <c r="M33" i="9"/>
  <c r="N33" i="9" s="1"/>
  <c r="G36" i="9"/>
  <c r="N68" i="7"/>
  <c r="N49" i="7"/>
  <c r="F119" i="8"/>
  <c r="F115" i="8"/>
  <c r="K120" i="8"/>
  <c r="K116" i="8"/>
  <c r="K119" i="8"/>
  <c r="F118" i="8"/>
  <c r="F117" i="8"/>
  <c r="K118" i="8"/>
  <c r="F121" i="8"/>
  <c r="F116" i="8"/>
  <c r="K117" i="8"/>
  <c r="F120" i="8"/>
  <c r="K121" i="8"/>
  <c r="N106" i="7"/>
  <c r="N125" i="7"/>
  <c r="J32" i="7"/>
  <c r="J108" i="7"/>
  <c r="I127" i="7"/>
  <c r="I51" i="7"/>
  <c r="N87" i="7"/>
  <c r="G112" i="8"/>
  <c r="G113" i="8"/>
  <c r="G114" i="8"/>
  <c r="G115" i="8"/>
  <c r="G116" i="8"/>
  <c r="G117" i="8"/>
  <c r="G118" i="8"/>
  <c r="G119" i="8"/>
  <c r="G120" i="8"/>
  <c r="G121" i="8"/>
  <c r="D112" i="8"/>
  <c r="D113" i="8"/>
  <c r="D114" i="8"/>
  <c r="D115" i="8"/>
  <c r="D116" i="8"/>
  <c r="H116" i="8"/>
  <c r="D117" i="8"/>
  <c r="H117" i="8"/>
  <c r="D118" i="8"/>
  <c r="H118" i="8"/>
  <c r="D119" i="8"/>
  <c r="H119" i="8"/>
  <c r="D120" i="8"/>
  <c r="H120" i="8"/>
  <c r="D121" i="8"/>
  <c r="H121" i="8"/>
  <c r="E112" i="8"/>
  <c r="E113" i="8"/>
  <c r="E114" i="8"/>
  <c r="E115" i="8"/>
  <c r="E116" i="8"/>
  <c r="E117" i="8"/>
  <c r="E118" i="8"/>
  <c r="E119" i="8"/>
  <c r="E120" i="8"/>
  <c r="E121" i="8"/>
  <c r="G4" i="3"/>
  <c r="G47" i="3" s="1"/>
  <c r="G68" i="3" s="1"/>
  <c r="AK18" i="8" l="1"/>
  <c r="AM26" i="8"/>
  <c r="AK24" i="8"/>
  <c r="AO25" i="8"/>
  <c r="AQ28" i="8"/>
  <c r="H66" i="13"/>
  <c r="AO21" i="8"/>
  <c r="AQ26" i="8"/>
  <c r="AK23" i="8"/>
  <c r="AM22" i="8"/>
  <c r="AQ24" i="8"/>
  <c r="AK14" i="8"/>
  <c r="AM30" i="8"/>
  <c r="AM28" i="8"/>
  <c r="AO16" i="8"/>
  <c r="AO20" i="8"/>
  <c r="S8" i="8"/>
  <c r="AR8" i="8" s="1"/>
  <c r="AO15" i="8"/>
  <c r="AQ18" i="8"/>
  <c r="AM31" i="8"/>
  <c r="AQ20" i="8"/>
  <c r="AQ11" i="8"/>
  <c r="AM19" i="8"/>
  <c r="AQ16" i="8"/>
  <c r="AQ14" i="8"/>
  <c r="AK30" i="8"/>
  <c r="AK27" i="8"/>
  <c r="AM27" i="8"/>
  <c r="AO12" i="8"/>
  <c r="AM17" i="8"/>
  <c r="AO13" i="8"/>
  <c r="AO29" i="8"/>
  <c r="AQ27" i="8"/>
  <c r="AM25" i="8"/>
  <c r="AQ23" i="8"/>
  <c r="AM23" i="8"/>
  <c r="AQ30" i="8"/>
  <c r="AQ25" i="8"/>
  <c r="S30" i="8"/>
  <c r="S26" i="8"/>
  <c r="AO30" i="8"/>
  <c r="AK26" i="8"/>
  <c r="AO23" i="8"/>
  <c r="AQ29" i="8"/>
  <c r="AM29" i="8"/>
  <c r="AK31" i="8"/>
  <c r="AK28" i="8"/>
  <c r="AO28" i="8"/>
  <c r="AM24" i="8"/>
  <c r="S22" i="8"/>
  <c r="AK22" i="8"/>
  <c r="AK25" i="8"/>
  <c r="AO27" i="8"/>
  <c r="S29" i="8"/>
  <c r="AO31" i="8"/>
  <c r="S24" i="8"/>
  <c r="AO22" i="8"/>
  <c r="S27" i="8"/>
  <c r="AO26" i="8"/>
  <c r="AK29" i="8"/>
  <c r="S31" i="8"/>
  <c r="S25" i="8"/>
  <c r="S23" i="8"/>
  <c r="AQ31" i="8"/>
  <c r="S28" i="8"/>
  <c r="AO24" i="8"/>
  <c r="AQ22" i="8"/>
  <c r="AM18" i="8"/>
  <c r="AQ17" i="8"/>
  <c r="AK15" i="8"/>
  <c r="AK16" i="8"/>
  <c r="S14" i="8"/>
  <c r="AM14" i="8"/>
  <c r="AQ21" i="8"/>
  <c r="AK21" i="8"/>
  <c r="AK20" i="8"/>
  <c r="S20" i="8"/>
  <c r="AM20" i="8"/>
  <c r="S16" i="8"/>
  <c r="S21" i="8"/>
  <c r="S18" i="8"/>
  <c r="S17" i="8"/>
  <c r="AK17" i="8"/>
  <c r="AM15" i="8"/>
  <c r="AM16" i="8"/>
  <c r="AO14" i="8"/>
  <c r="AM21" i="8"/>
  <c r="AO18" i="8"/>
  <c r="AO19" i="8"/>
  <c r="AM13" i="8"/>
  <c r="AO17" i="8"/>
  <c r="S15" i="8"/>
  <c r="AK11" i="8"/>
  <c r="AO11" i="8"/>
  <c r="AM12" i="8"/>
  <c r="AQ12" i="8"/>
  <c r="AK13" i="8"/>
  <c r="AK10" i="8"/>
  <c r="AQ10" i="8"/>
  <c r="AQ13" i="8"/>
  <c r="AS12" i="8"/>
  <c r="AK12" i="8"/>
  <c r="S11" i="8"/>
  <c r="AM11" i="8"/>
  <c r="AM10" i="8"/>
  <c r="S10" i="8"/>
  <c r="AO10" i="8"/>
  <c r="AO9" i="8"/>
  <c r="AQ19" i="8"/>
  <c r="AK19" i="8"/>
  <c r="S19" i="8"/>
  <c r="AM9" i="8"/>
  <c r="AK9" i="8"/>
  <c r="AQ9" i="8"/>
  <c r="S9" i="8"/>
  <c r="L8" i="1"/>
  <c r="L9" i="1"/>
  <c r="I31" i="13"/>
  <c r="H10" i="1"/>
  <c r="AQ8" i="8"/>
  <c r="AO8" i="8"/>
  <c r="C39" i="9"/>
  <c r="H11" i="1" s="1"/>
  <c r="I15" i="13"/>
  <c r="L15" i="13" s="1"/>
  <c r="F26" i="13"/>
  <c r="J31" i="14"/>
  <c r="K31" i="14" s="1"/>
  <c r="J32" i="14"/>
  <c r="K32" i="14" s="1"/>
  <c r="G39" i="9"/>
  <c r="E122" i="8"/>
  <c r="D122" i="8"/>
  <c r="G122" i="8"/>
  <c r="B52" i="23" l="1"/>
  <c r="C52" i="23" s="1"/>
  <c r="D52" i="23" s="1"/>
  <c r="E52" i="23" s="1"/>
  <c r="F52" i="23" s="1"/>
  <c r="AR22" i="8"/>
  <c r="AS22" i="8" s="1"/>
  <c r="AR18" i="8"/>
  <c r="AS18" i="8" s="1"/>
  <c r="AR15" i="8"/>
  <c r="AS15" i="8" s="1"/>
  <c r="AR9" i="8"/>
  <c r="AS9" i="8" s="1"/>
  <c r="AS8" i="8"/>
  <c r="J115" i="8"/>
  <c r="AR28" i="8"/>
  <c r="AS28" i="8" s="1"/>
  <c r="AR19" i="8"/>
  <c r="AS19" i="8" s="1"/>
  <c r="K115" i="8"/>
  <c r="AR17" i="8"/>
  <c r="AS17" i="8" s="1"/>
  <c r="AR30" i="8"/>
  <c r="AS30" i="8" s="1"/>
  <c r="AR23" i="8"/>
  <c r="AS23" i="8" s="1"/>
  <c r="AR27" i="8"/>
  <c r="AS27" i="8" s="1"/>
  <c r="AR24" i="8"/>
  <c r="AS24" i="8" s="1"/>
  <c r="AR14" i="8"/>
  <c r="AS14" i="8" s="1"/>
  <c r="AR20" i="8"/>
  <c r="AS20" i="8" s="1"/>
  <c r="AR29" i="8"/>
  <c r="AS29" i="8" s="1"/>
  <c r="AR16" i="8"/>
  <c r="AS16" i="8" s="1"/>
  <c r="AR21" i="8"/>
  <c r="AS21" i="8" s="1"/>
  <c r="AR26" i="8"/>
  <c r="AS26" i="8" s="1"/>
  <c r="AR25" i="8"/>
  <c r="AS25" i="8" s="1"/>
  <c r="AR31" i="8"/>
  <c r="AS31" i="8" s="1"/>
  <c r="AR10" i="8"/>
  <c r="AS10" i="8" s="1"/>
  <c r="AR13" i="8"/>
  <c r="AS13" i="8" s="1"/>
  <c r="AR11" i="8"/>
  <c r="AS11" i="8" s="1"/>
  <c r="K114" i="8"/>
  <c r="F114" i="8"/>
  <c r="J114" i="8"/>
  <c r="T9" i="1"/>
  <c r="AK108" i="8"/>
  <c r="AM108" i="8"/>
  <c r="AO108" i="8"/>
  <c r="K113" i="8"/>
  <c r="F113" i="8"/>
  <c r="J113" i="8"/>
  <c r="H31" i="13"/>
  <c r="H42" i="13" s="1"/>
  <c r="I42" i="13"/>
  <c r="K107" i="8"/>
  <c r="M107" i="8"/>
  <c r="M6" i="13" s="1"/>
  <c r="AQ108" i="8"/>
  <c r="I40" i="13"/>
  <c r="F40" i="13"/>
  <c r="M5" i="13"/>
  <c r="F31" i="13"/>
  <c r="F42" i="13" s="1"/>
  <c r="G31" i="13"/>
  <c r="G42" i="13" s="1"/>
  <c r="P45" i="1"/>
  <c r="T8" i="1"/>
  <c r="H115" i="8"/>
  <c r="J112" i="8"/>
  <c r="K112" i="8"/>
  <c r="H107" i="8"/>
  <c r="F112" i="8"/>
  <c r="J40" i="14"/>
  <c r="K40" i="14" s="1"/>
  <c r="J17" i="14"/>
  <c r="K17" i="14" s="1"/>
  <c r="J37" i="14"/>
  <c r="K37" i="14" s="1"/>
  <c r="H62" i="13"/>
  <c r="D33" i="9"/>
  <c r="E43" i="1"/>
  <c r="J29" i="14"/>
  <c r="K29" i="14" s="1"/>
  <c r="J34" i="14"/>
  <c r="K34" i="14" s="1"/>
  <c r="H34" i="13" l="1"/>
  <c r="N10" i="7"/>
  <c r="AS108" i="8"/>
  <c r="H32" i="13" s="1"/>
  <c r="H37" i="13" s="1"/>
  <c r="H114" i="8"/>
  <c r="B53" i="23"/>
  <c r="G32" i="13"/>
  <c r="G37" i="13" s="1"/>
  <c r="H59" i="13" s="1"/>
  <c r="F32" i="13"/>
  <c r="F37" i="13" s="1"/>
  <c r="K122" i="8"/>
  <c r="F122" i="8"/>
  <c r="J122" i="8"/>
  <c r="H113" i="8"/>
  <c r="L107" i="8"/>
  <c r="I33" i="13"/>
  <c r="H33" i="13"/>
  <c r="H38" i="13" s="1"/>
  <c r="F33" i="13"/>
  <c r="G33" i="13"/>
  <c r="I34" i="13"/>
  <c r="G34" i="13"/>
  <c r="F34" i="13"/>
  <c r="H63" i="13"/>
  <c r="H112" i="8"/>
  <c r="B113" i="7"/>
  <c r="J33" i="14"/>
  <c r="K33" i="14" s="1"/>
  <c r="E8" i="15"/>
  <c r="E8" i="16"/>
  <c r="I32" i="13" l="1"/>
  <c r="I37" i="13" s="1"/>
  <c r="C53" i="23"/>
  <c r="H122" i="8"/>
  <c r="I38" i="13"/>
  <c r="H61" i="13" s="1"/>
  <c r="F38" i="13"/>
  <c r="G38" i="13"/>
  <c r="H60" i="13" s="1"/>
  <c r="J16" i="14"/>
  <c r="K16" i="14" s="1"/>
  <c r="J38" i="14"/>
  <c r="K38" i="14" s="1"/>
  <c r="B114" i="7"/>
  <c r="J14" i="14"/>
  <c r="K14" i="14" s="1"/>
  <c r="J35" i="14"/>
  <c r="K35" i="14" s="1"/>
  <c r="D53" i="23" l="1"/>
  <c r="J36" i="14"/>
  <c r="K36" i="14" s="1"/>
  <c r="K41" i="14" s="1"/>
  <c r="K42" i="14" s="1"/>
  <c r="K18" i="14"/>
  <c r="K19" i="14" s="1"/>
  <c r="O51" i="7"/>
  <c r="B115" i="7"/>
  <c r="F53" i="23" l="1"/>
  <c r="E53" i="23"/>
  <c r="T45" i="1"/>
  <c r="B116" i="7"/>
  <c r="O70" i="7"/>
  <c r="O50" i="7"/>
  <c r="O69" i="7" l="1"/>
  <c r="B117" i="7"/>
  <c r="O88" i="7"/>
  <c r="B118" i="7" l="1"/>
  <c r="B83" i="7"/>
  <c r="B119" i="7"/>
  <c r="O89" i="7"/>
  <c r="O108" i="7" l="1"/>
  <c r="O107" i="7"/>
  <c r="B84" i="7"/>
  <c r="O126" i="7" l="1"/>
  <c r="O127" i="7"/>
  <c r="B121" i="7"/>
  <c r="B85" i="7"/>
  <c r="B120" i="7"/>
  <c r="B67" i="7"/>
  <c r="O49" i="7"/>
  <c r="B103" i="7"/>
  <c r="B104" i="7" l="1"/>
  <c r="B122" i="7"/>
  <c r="B86" i="7"/>
  <c r="O68" i="7"/>
  <c r="B105" i="7" l="1"/>
  <c r="O87" i="7"/>
  <c r="B123" i="7"/>
  <c r="B124" i="7" l="1"/>
  <c r="O106" i="7"/>
  <c r="O125" i="7" l="1"/>
</calcChain>
</file>

<file path=xl/comments1.xml><?xml version="1.0" encoding="utf-8"?>
<comments xmlns="http://schemas.openxmlformats.org/spreadsheetml/2006/main">
  <authors>
    <author>Author</author>
  </authors>
  <commentList>
    <comment ref="I23" authorId="0" shapeId="0">
      <text>
        <r>
          <rPr>
            <b/>
            <sz val="9"/>
            <color indexed="81"/>
            <rFont val="Tahoma"/>
            <family val="2"/>
          </rPr>
          <t>Author:</t>
        </r>
        <r>
          <rPr>
            <sz val="9"/>
            <color indexed="81"/>
            <rFont val="Tahoma"/>
            <family val="2"/>
          </rPr>
          <t xml:space="preserve">
SOA recd.</t>
        </r>
      </text>
    </comment>
    <comment ref="I27" authorId="0" shapeId="0">
      <text>
        <r>
          <rPr>
            <b/>
            <sz val="9"/>
            <color indexed="81"/>
            <rFont val="Tahoma"/>
            <family val="2"/>
          </rPr>
          <t>Author:</t>
        </r>
        <r>
          <rPr>
            <sz val="9"/>
            <color indexed="81"/>
            <rFont val="Tahoma"/>
            <family val="2"/>
          </rPr>
          <t xml:space="preserve">
account no, 
025</t>
        </r>
      </text>
    </comment>
    <comment ref="I28" authorId="0" shapeId="0">
      <text>
        <r>
          <rPr>
            <b/>
            <sz val="9"/>
            <color indexed="81"/>
            <rFont val="Tahoma"/>
            <family val="2"/>
          </rPr>
          <t>Author:</t>
        </r>
        <r>
          <rPr>
            <sz val="9"/>
            <color indexed="81"/>
            <rFont val="Tahoma"/>
            <family val="2"/>
          </rPr>
          <t xml:space="preserve">
025</t>
        </r>
      </text>
    </comment>
    <comment ref="I29" authorId="0" shapeId="0">
      <text>
        <r>
          <rPr>
            <b/>
            <sz val="9"/>
            <color indexed="81"/>
            <rFont val="Tahoma"/>
            <family val="2"/>
          </rPr>
          <t>Author:</t>
        </r>
        <r>
          <rPr>
            <sz val="9"/>
            <color indexed="81"/>
            <rFont val="Tahoma"/>
            <family val="2"/>
          </rPr>
          <t xml:space="preserve">
Clix Closed (025) </t>
        </r>
      </text>
    </comment>
    <comment ref="I31" authorId="0" shapeId="0">
      <text>
        <r>
          <rPr>
            <b/>
            <sz val="9"/>
            <color indexed="81"/>
            <rFont val="Tahoma"/>
            <family val="2"/>
          </rPr>
          <t>Author:</t>
        </r>
        <r>
          <rPr>
            <sz val="9"/>
            <color indexed="81"/>
            <rFont val="Tahoma"/>
            <family val="2"/>
          </rPr>
          <t xml:space="preserve">
CLIX Closed 025</t>
        </r>
      </text>
    </comment>
    <comment ref="B35" authorId="0" shapeId="0">
      <text>
        <r>
          <rPr>
            <b/>
            <sz val="9"/>
            <color indexed="81"/>
            <rFont val="Tahoma"/>
            <family val="2"/>
          </rPr>
          <t>Author:</t>
        </r>
        <r>
          <rPr>
            <sz val="9"/>
            <color indexed="81"/>
            <rFont val="Tahoma"/>
            <family val="2"/>
          </rPr>
          <t xml:space="preserve">
Reflecting in Niti Singh loan account also.</t>
        </r>
      </text>
    </comment>
  </commentList>
</comments>
</file>

<file path=xl/sharedStrings.xml><?xml version="1.0" encoding="utf-8"?>
<sst xmlns="http://schemas.openxmlformats.org/spreadsheetml/2006/main" count="5121" uniqueCount="1906">
  <si>
    <t>Login Date</t>
  </si>
  <si>
    <t>Application ID</t>
  </si>
  <si>
    <t>Branch</t>
  </si>
  <si>
    <t>Sourcing Channel</t>
  </si>
  <si>
    <t>Channel Name</t>
  </si>
  <si>
    <t>Sales Manager</t>
  </si>
  <si>
    <t>Credit Manager</t>
  </si>
  <si>
    <t>Type of Set-up</t>
  </si>
  <si>
    <t>Name of the Entity</t>
  </si>
  <si>
    <t>DI</t>
  </si>
  <si>
    <t>Start Up Status</t>
  </si>
  <si>
    <t>City</t>
  </si>
  <si>
    <t>State</t>
  </si>
  <si>
    <t>District</t>
  </si>
  <si>
    <t>Type of Premises</t>
  </si>
  <si>
    <t>Site for equipment Installation</t>
  </si>
  <si>
    <t>Contact Person</t>
  </si>
  <si>
    <t>Contact Number</t>
  </si>
  <si>
    <t>FINANCIAL SHEET &amp; ANALYSIS</t>
  </si>
  <si>
    <t>APPLICANT NAME =====&gt;&gt;&gt;</t>
  </si>
  <si>
    <t>PROFIT AND LOSS ACCOUNT</t>
  </si>
  <si>
    <t>YOY% Change</t>
  </si>
  <si>
    <t>Particulars (In Rs. Lakhs)</t>
  </si>
  <si>
    <t>Sales/Receipts</t>
  </si>
  <si>
    <t>Other Income (Business Related)</t>
  </si>
  <si>
    <t>Other Income (Non Business Related)</t>
  </si>
  <si>
    <t>TOTAL INCOME</t>
  </si>
  <si>
    <t>Opening Stock</t>
  </si>
  <si>
    <t>Purchases</t>
  </si>
  <si>
    <t>Closing Stock</t>
  </si>
  <si>
    <t>Wages</t>
  </si>
  <si>
    <t>Gross Profit (as per books)</t>
  </si>
  <si>
    <t>Administrative Expenses</t>
  </si>
  <si>
    <t>Selling and Distribution Expenses</t>
  </si>
  <si>
    <t>Salary to partners/directors NOT coming on loan</t>
  </si>
  <si>
    <t>Interest to partners/directors NOT coming on loan</t>
  </si>
  <si>
    <t>Interest on OD/CC A/c</t>
  </si>
  <si>
    <t>Interest to FI/Banks (Other than OD/CC A/c)</t>
  </si>
  <si>
    <t>Interest to Pvt/Outside Parties</t>
  </si>
  <si>
    <t>Depreciation</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</si>
  <si>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</si>
  <si>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</si>
  <si>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</si>
  <si>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</si>
  <si>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</si>
  <si>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</si>
  <si>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</si>
  <si>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</si>
  <si>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</si>
  <si>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</si>
  <si>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</si>
  <si>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</si>
  <si>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LIABILITIES (Rs. Lakhs)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</si>
  <si>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</si>
  <si>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</si>
  <si>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</si>
  <si>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</si>
  <si>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</si>
  <si>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</si>
  <si>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</si>
  <si>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</si>
  <si>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</si>
  <si>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Sundry Creditors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</si>
  <si>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</si>
  <si>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</si>
  <si>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</si>
  <si>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</si>
  <si>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</si>
  <si>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</si>
  <si>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</si>
  <si>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</si>
  <si>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Investments</t>
  </si>
  <si>
    <t>Investments (Business related)</t>
  </si>
  <si>
    <t>Investments (Non Business related)</t>
  </si>
  <si>
    <t>Current Assets</t>
  </si>
  <si>
    <t>Inventories</t>
  </si>
  <si>
    <t>Debtors &gt; 6 months</t>
  </si>
  <si>
    <t>Debtors &lt; 6 months</t>
  </si>
  <si>
    <t>Cash and Bank</t>
  </si>
  <si>
    <t>Deferred Tax Assets</t>
  </si>
  <si>
    <t>Others</t>
  </si>
  <si>
    <t>Loans and Advances</t>
  </si>
  <si>
    <t>Loans and Advances (Non Business Related)</t>
  </si>
  <si>
    <t>Miscellaenous Expenditure (to the extent not w/off)/P&amp;L Dr balance</t>
  </si>
  <si>
    <t>ASSETS - TOTAL</t>
  </si>
  <si>
    <t>DIFF -        (Asset - Liabilities)</t>
  </si>
  <si>
    <t>RATIOS</t>
  </si>
  <si>
    <t>Comments</t>
  </si>
  <si>
    <t>Growth in Sales</t>
  </si>
  <si>
    <t>Net Profit Margin Ratio</t>
  </si>
  <si>
    <t>Cash Profit Ratio</t>
  </si>
  <si>
    <t>Debt Equity Ratio</t>
  </si>
  <si>
    <t>Leverage</t>
  </si>
  <si>
    <t>Interest Coverage Ratio</t>
  </si>
  <si>
    <t>Debtor Days</t>
  </si>
  <si>
    <t>Stock Days</t>
  </si>
  <si>
    <t>Creditors Days</t>
  </si>
  <si>
    <t>Net Working Capital Cycle</t>
  </si>
  <si>
    <t>Current Ratio (CL incl OD/CC)</t>
  </si>
  <si>
    <t>TOL/ATNW</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</si>
  <si>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</si>
  <si>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</si>
  <si>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</si>
  <si>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</si>
  <si>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</si>
  <si>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</si>
  <si>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</si>
  <si>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</si>
  <si>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</si>
  <si>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</si>
  <si>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</si>
  <si>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 xml:space="preserve">Net Cash used in investing activities   (C) </t>
  </si>
  <si>
    <t>CASH FLOW FROM FINANCING ACTIVITIES</t>
  </si>
  <si>
    <t>Increase / (Decrease) in Secured loans</t>
  </si>
  <si>
    <t>Increase / (Decrease) in Unsecured loans</t>
  </si>
  <si>
    <t>Increase / (Decrease) in networth</t>
  </si>
  <si>
    <t>Net Cash used in financing activities     (D)</t>
  </si>
  <si>
    <t>Net Increase in cash and cash equivalents   (A+B+C+D)</t>
  </si>
  <si>
    <t>Cash Opening Balance</t>
  </si>
  <si>
    <t>Closing Balance</t>
  </si>
  <si>
    <t>Difference ---- should be zero</t>
  </si>
  <si>
    <r>
      <t>BANKING SYNOPSIS, (</t>
    </r>
    <r>
      <rPr>
        <b/>
        <i/>
        <sz val="16"/>
        <color indexed="9"/>
        <rFont val="Calibri"/>
        <family val="2"/>
        <charset val="134"/>
      </rPr>
      <t>PS:- Data entry to be made from Row No. 15</t>
    </r>
    <r>
      <rPr>
        <b/>
        <sz val="16"/>
        <color indexed="9"/>
        <rFont val="Calibri"/>
        <family val="2"/>
        <charset val="134"/>
      </rPr>
      <t>)</t>
    </r>
  </si>
  <si>
    <t>Sr. No.</t>
  </si>
  <si>
    <t xml:space="preserve">Account Holder Name </t>
  </si>
  <si>
    <t>Bank Name</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</si>
  <si>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</si>
  <si>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</si>
  <si>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</si>
  <si>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</si>
  <si>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</si>
  <si>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</si>
  <si>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</si>
  <si>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</si>
  <si>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</si>
  <si>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</si>
  <si>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</si>
  <si>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Annualised Credits (in lacs)</t>
  </si>
  <si>
    <t>First Enter All OD/CC accounts in the below table, then all the Current Accounts</t>
  </si>
  <si>
    <t>Capture amount in Lakhs</t>
  </si>
  <si>
    <t>BANKING 1</t>
  </si>
  <si>
    <t>Account Holder Name</t>
  </si>
  <si>
    <t>Is It a Business Account</t>
  </si>
  <si>
    <t>Type of Account</t>
  </si>
  <si>
    <t>Sanctioned Limit (in lakhs)</t>
  </si>
  <si>
    <t>Month</t>
  </si>
  <si>
    <t>Credits</t>
  </si>
  <si>
    <t>Peak Utilisation Level</t>
  </si>
  <si>
    <t>Utilisation Percentage</t>
  </si>
  <si>
    <t>Nos. of Credit</t>
  </si>
  <si>
    <t>Nos. of Debit</t>
  </si>
  <si>
    <t>Balance on 10th</t>
  </si>
  <si>
    <t>Balance on 20th</t>
  </si>
  <si>
    <t>Average</t>
  </si>
  <si>
    <t>Total</t>
  </si>
  <si>
    <t>Lowest ABB in the last 6 months  &gt;</t>
  </si>
  <si>
    <t>Annualized</t>
  </si>
  <si>
    <t>Highest ABB in the last 6 months &gt;</t>
  </si>
  <si>
    <t>BANKING 2</t>
  </si>
  <si>
    <t>BANKING 3</t>
  </si>
  <si>
    <t>BANKING 4</t>
  </si>
  <si>
    <t>BANKING 5</t>
  </si>
  <si>
    <t>BANKING 6</t>
  </si>
  <si>
    <t>EXISTING LOANS AND REPAYMENT PATTERN OF THE LOANS</t>
  </si>
  <si>
    <t>No. of CIBIL Enquiries in Last 3 Months</t>
  </si>
  <si>
    <t xml:space="preserve">No. of Cash out loans taken in last 3 months </t>
  </si>
  <si>
    <t>Serviced Secured Loan (Ever)</t>
  </si>
  <si>
    <t>DPD reported &gt; 30 days in the last 18 months</t>
  </si>
  <si>
    <t>No of Bounces in the last 6 months</t>
  </si>
  <si>
    <t>Excludes default in Credit Card, Agri Loan and Gold Loan</t>
  </si>
  <si>
    <t>SI.No</t>
  </si>
  <si>
    <t>Borrower</t>
  </si>
  <si>
    <t>Bank / Financier</t>
  </si>
  <si>
    <t>Type of Loan</t>
  </si>
  <si>
    <t>Loan Category</t>
  </si>
  <si>
    <t>Current Loan Status</t>
  </si>
  <si>
    <t>Loan Amount (Rs. L)</t>
  </si>
  <si>
    <t>Current POS (Rs. L)</t>
  </si>
  <si>
    <t>Proposed Loan Status</t>
  </si>
  <si>
    <t>Proposed POS (In L)</t>
  </si>
  <si>
    <t>Proposed Closure Loans (RS. L)</t>
  </si>
  <si>
    <t>Proposed EMI / Interest / Instalment  (Rs. Not in L)</t>
  </si>
  <si>
    <t>ROI % P.a</t>
  </si>
  <si>
    <t>Loan Tenure (In Months</t>
  </si>
  <si>
    <t>Loan Start Date</t>
  </si>
  <si>
    <t>Loan End Date</t>
  </si>
  <si>
    <t>MOB</t>
  </si>
  <si>
    <t>Balance Tenure</t>
  </si>
  <si>
    <t>Bank A/c from where EMI validated thru bank statement</t>
  </si>
  <si>
    <t>EMI Date</t>
  </si>
  <si>
    <t>Repayment Pattern</t>
  </si>
  <si>
    <t>Auto Loan</t>
  </si>
  <si>
    <t>Live</t>
  </si>
  <si>
    <t>Consolidated Debt Position</t>
  </si>
  <si>
    <t>SI.NO</t>
  </si>
  <si>
    <t>Name of the applicant</t>
  </si>
  <si>
    <t>No of Loan Accounts</t>
  </si>
  <si>
    <t>Total Loans Availed (Rs. L)</t>
  </si>
  <si>
    <t xml:space="preserve">Current Obligations </t>
  </si>
  <si>
    <t>Proposed Closure Loans (Rs. L)</t>
  </si>
  <si>
    <t>Proposed POS Rs. L</t>
  </si>
  <si>
    <t>Proposed Obligation (Excluding Clix EMI)</t>
  </si>
  <si>
    <t>Credit Assessment Memo - HFS</t>
  </si>
  <si>
    <t>Manufacturer</t>
  </si>
  <si>
    <t>Dealer</t>
  </si>
  <si>
    <t>Loan</t>
  </si>
  <si>
    <t>LTV</t>
  </si>
  <si>
    <t>Equipment Model</t>
  </si>
  <si>
    <t># Units</t>
  </si>
  <si>
    <t>Margin (%)</t>
  </si>
  <si>
    <t>Margin Amount (Rs. )</t>
  </si>
  <si>
    <t>Property Type</t>
  </si>
  <si>
    <t>Loan Status</t>
  </si>
  <si>
    <t>Accounttype</t>
  </si>
  <si>
    <t>Repayment</t>
  </si>
  <si>
    <t>Resi. - Self Occupied</t>
  </si>
  <si>
    <t>OD/CC - 1</t>
  </si>
  <si>
    <t>Cleared</t>
  </si>
  <si>
    <t>Resi. - Rented</t>
  </si>
  <si>
    <t>Bill Discounting</t>
  </si>
  <si>
    <t>BT (Takeover)</t>
  </si>
  <si>
    <t>OD/CC - 2</t>
  </si>
  <si>
    <t>Cash Payment</t>
  </si>
  <si>
    <t>Resi. - Vacant</t>
  </si>
  <si>
    <t>Business Loan</t>
  </si>
  <si>
    <t>Not to be Obligated</t>
  </si>
  <si>
    <t>OD/CC - 3</t>
  </si>
  <si>
    <t>Closed</t>
  </si>
  <si>
    <t>Comm. - Self Occupied</t>
  </si>
  <si>
    <t>Commercial Vehicle</t>
  </si>
  <si>
    <t>OD/CC - 4</t>
  </si>
  <si>
    <t>Not Started</t>
  </si>
  <si>
    <t>Comm. - Rented</t>
  </si>
  <si>
    <t>Consumer Loan</t>
  </si>
  <si>
    <t>Will be closed</t>
  </si>
  <si>
    <t>OD/CC - 5</t>
  </si>
  <si>
    <t>Bounced</t>
  </si>
  <si>
    <t>Comm. - Vacant</t>
  </si>
  <si>
    <t>Currency Loan</t>
  </si>
  <si>
    <t>OD/CC - 6</t>
  </si>
  <si>
    <t>B&lt;10 days</t>
  </si>
  <si>
    <t>Institute - Self Occupied</t>
  </si>
  <si>
    <t>Education Loan</t>
  </si>
  <si>
    <t>OD/CC - 7</t>
  </si>
  <si>
    <t>B&lt;15 days</t>
  </si>
  <si>
    <t>Land Property</t>
  </si>
  <si>
    <t>Equipment Loan</t>
  </si>
  <si>
    <t>OD/CC - 8</t>
  </si>
  <si>
    <t>B&lt;30 days</t>
  </si>
  <si>
    <t>Other Property</t>
  </si>
  <si>
    <t>Gold Loan</t>
  </si>
  <si>
    <t>OD/CC - 9</t>
  </si>
  <si>
    <t>B&gt;30 days</t>
  </si>
  <si>
    <t>Home Loan</t>
  </si>
  <si>
    <t>OD/CC - 10</t>
  </si>
  <si>
    <t>Letter of Credit</t>
  </si>
  <si>
    <t>Current A/c - 1</t>
  </si>
  <si>
    <t>Loan Against Receivables</t>
  </si>
  <si>
    <t>Current A/c - 2</t>
  </si>
  <si>
    <t>Loan Against Securities</t>
  </si>
  <si>
    <t>Current A/c - 3</t>
  </si>
  <si>
    <t>Moratorium Loan</t>
  </si>
  <si>
    <t>Current A/c - 4</t>
  </si>
  <si>
    <t>Mortgage Loan (LAP)</t>
  </si>
  <si>
    <t>Current A/c - 5</t>
  </si>
  <si>
    <t>OD/CC</t>
  </si>
  <si>
    <t>Current A/c - 6</t>
  </si>
  <si>
    <t>Personal Loan</t>
  </si>
  <si>
    <t>Current A/c - 7</t>
  </si>
  <si>
    <t>Structured Loan</t>
  </si>
  <si>
    <t>Current A/c - 8</t>
  </si>
  <si>
    <t>Term Loan (Principal + Interest)</t>
  </si>
  <si>
    <t>Current A/c - 9</t>
  </si>
  <si>
    <t>Other Loans</t>
  </si>
  <si>
    <t>Current A/c - 10</t>
  </si>
  <si>
    <t>Savings A/c -1</t>
  </si>
  <si>
    <t>Savings A/c -2</t>
  </si>
  <si>
    <t>Savings A/c -3</t>
  </si>
  <si>
    <t>Savings A/c -4</t>
  </si>
  <si>
    <t>Savings A/c -5</t>
  </si>
  <si>
    <t>Savings A/c -6</t>
  </si>
  <si>
    <t>Savings A/c -7</t>
  </si>
  <si>
    <t>Savings A/c -8</t>
  </si>
  <si>
    <t>Savings A/c -9</t>
  </si>
  <si>
    <t>Savings A/c -10</t>
  </si>
  <si>
    <t>Ahmedabad</t>
  </si>
  <si>
    <t>Customer ID</t>
  </si>
  <si>
    <t>Loan Proposal Details</t>
  </si>
  <si>
    <t>Yes</t>
  </si>
  <si>
    <t>Distance From Branch</t>
  </si>
  <si>
    <t>Customer Type</t>
  </si>
  <si>
    <t>Location</t>
  </si>
  <si>
    <t>Proposed Loan</t>
  </si>
  <si>
    <t>Existing Exposure</t>
  </si>
  <si>
    <t>Total Exposure</t>
  </si>
  <si>
    <t>Customer Name</t>
  </si>
  <si>
    <t>Equipment Price</t>
  </si>
  <si>
    <t>Buy Back (If any)</t>
  </si>
  <si>
    <t>Down Payment</t>
  </si>
  <si>
    <t>Tenure</t>
  </si>
  <si>
    <t>Moratorium</t>
  </si>
  <si>
    <t>Advance EMI</t>
  </si>
  <si>
    <t>Subvention</t>
  </si>
  <si>
    <t>Processing Fee (%)</t>
  </si>
  <si>
    <t>Processing Fee (Rs. )</t>
  </si>
  <si>
    <t>Group Exposure</t>
  </si>
  <si>
    <t>Total Group Exposure</t>
  </si>
  <si>
    <t>Total EMI Post Funding</t>
  </si>
  <si>
    <t>Pin Code</t>
  </si>
  <si>
    <t>Location Categorization</t>
  </si>
  <si>
    <t>Rating</t>
  </si>
  <si>
    <t>LGD</t>
  </si>
  <si>
    <t>Risk Reserve</t>
  </si>
  <si>
    <t>AML Risk</t>
  </si>
  <si>
    <t>Borrower Details</t>
  </si>
  <si>
    <t>Loan Structure</t>
  </si>
  <si>
    <t>Name Of the Applicant</t>
  </si>
  <si>
    <t>Constitution / Designation</t>
  </si>
  <si>
    <t>Trust</t>
  </si>
  <si>
    <t>Section 25 Company</t>
  </si>
  <si>
    <t>Private Limited</t>
  </si>
  <si>
    <t>Managing Director</t>
  </si>
  <si>
    <t>Director</t>
  </si>
  <si>
    <t>Shareholder</t>
  </si>
  <si>
    <t>Member</t>
  </si>
  <si>
    <t>Individual</t>
  </si>
  <si>
    <t>Family Member</t>
  </si>
  <si>
    <t>Third Party</t>
  </si>
  <si>
    <t>Chairman</t>
  </si>
  <si>
    <t>Vice-Chairman</t>
  </si>
  <si>
    <t>President</t>
  </si>
  <si>
    <t>Treasurer</t>
  </si>
  <si>
    <t>Secretary</t>
  </si>
  <si>
    <t>Managing Trustee</t>
  </si>
  <si>
    <t>Trustee</t>
  </si>
  <si>
    <t>Proprietor</t>
  </si>
  <si>
    <t>HUF</t>
  </si>
  <si>
    <t>Managing Partner</t>
  </si>
  <si>
    <t>Partner</t>
  </si>
  <si>
    <t>Society</t>
  </si>
  <si>
    <t>LLP</t>
  </si>
  <si>
    <t>Public Limited</t>
  </si>
  <si>
    <t>Partnership</t>
  </si>
  <si>
    <t>Proprietorship</t>
  </si>
  <si>
    <t>Spouse</t>
  </si>
  <si>
    <t>Father</t>
  </si>
  <si>
    <t>Mother</t>
  </si>
  <si>
    <t>Brother</t>
  </si>
  <si>
    <t>Constitution Designation</t>
  </si>
  <si>
    <t>CIBIL Score</t>
  </si>
  <si>
    <t>DOI / DOB</t>
  </si>
  <si>
    <t>Age at Loan Start</t>
  </si>
  <si>
    <t>Total Loans Availed (#)</t>
  </si>
  <si>
    <t>Total Loans Closed (#)</t>
  </si>
  <si>
    <t>Due Diligence Checks and Ratings</t>
  </si>
  <si>
    <t>ShareHolding / Profit Sharing</t>
  </si>
  <si>
    <t>Age at Loan Start / Loan End</t>
  </si>
  <si>
    <t>Demographic Details</t>
  </si>
  <si>
    <t>Name of the Applicant</t>
  </si>
  <si>
    <t>PAN NO</t>
  </si>
  <si>
    <t>Udyog Aadhar / Aadhar Number</t>
  </si>
  <si>
    <t>Qualification</t>
  </si>
  <si>
    <t>Exp (In Yrs)</t>
  </si>
  <si>
    <t>Address</t>
  </si>
  <si>
    <t>Owned / Rented</t>
  </si>
  <si>
    <t>FI Status</t>
  </si>
  <si>
    <t>Pincode</t>
  </si>
  <si>
    <t>Transaction Rationale</t>
  </si>
  <si>
    <t>Risks &amp; Mitigates</t>
  </si>
  <si>
    <t>Risks</t>
  </si>
  <si>
    <t>Mitigants/Deal Rationale</t>
  </si>
  <si>
    <t>Detailed Proposal Note</t>
  </si>
  <si>
    <t>Promoter Background and Succession</t>
  </si>
  <si>
    <t>Business Model &amp; Nature of Business</t>
  </si>
  <si>
    <t>PRESENT No. of cases &amp; charge / case with present set of  equipments &amp;
PROPOSED No. of cases &amp; charge / case with new set of equipments:</t>
  </si>
  <si>
    <t>Visiting Dr. , Centre Speciality, Contact &amp; networking strength of  promoters</t>
  </si>
  <si>
    <t>Equipments Installed in the center &amp;
End user of the asset (Current Set of Equipments)  :</t>
  </si>
  <si>
    <t>Financial Analysis</t>
  </si>
  <si>
    <t>Banking</t>
  </si>
  <si>
    <t>Other Information</t>
  </si>
  <si>
    <t>Devitaions</t>
  </si>
  <si>
    <t>Si.NO</t>
  </si>
  <si>
    <t>Level</t>
  </si>
  <si>
    <t>Mitigants</t>
  </si>
  <si>
    <t>Sanction Conditions</t>
  </si>
  <si>
    <t>Effeciency</t>
  </si>
  <si>
    <t>Parameters</t>
  </si>
  <si>
    <t>Grade 1</t>
  </si>
  <si>
    <t>Grade 2</t>
  </si>
  <si>
    <t>Grade 3</t>
  </si>
  <si>
    <t>Wt.</t>
  </si>
  <si>
    <t>Score</t>
  </si>
  <si>
    <t>Wt.
Avg.</t>
  </si>
  <si>
    <t>Criteria</t>
  </si>
  <si>
    <t>Management</t>
  </si>
  <si>
    <t>Experience / Business Vintage  (Years)</t>
  </si>
  <si>
    <t>&gt;= 7</t>
  </si>
  <si>
    <t>4 to 7</t>
  </si>
  <si>
    <t>&lt; 4 Years</t>
  </si>
  <si>
    <t>Promotor Qualification</t>
  </si>
  <si>
    <t>Specialist</t>
  </si>
  <si>
    <t>MBBS</t>
  </si>
  <si>
    <t>Premises Ownership ( Clinic/Residence)</t>
  </si>
  <si>
    <t>No</t>
  </si>
  <si>
    <t>CIBIL</t>
  </si>
  <si>
    <t>Financial</t>
  </si>
  <si>
    <t>Tangible Net Worth (INR Lacs)</t>
  </si>
  <si>
    <t>&gt;= INR 50</t>
  </si>
  <si>
    <t>40 to 50</t>
  </si>
  <si>
    <t>&lt; 40</t>
  </si>
  <si>
    <t>Revenue (INR Lacs)  (audited financial &lt;=19 months old)</t>
  </si>
  <si>
    <t>&gt;=INR 150</t>
  </si>
  <si>
    <t xml:space="preserve">50 to 150 </t>
  </si>
  <si>
    <t>&lt; 50</t>
  </si>
  <si>
    <t>EBITDA/Turnover (for last 2 yrs)</t>
  </si>
  <si>
    <t xml:space="preserve">&gt;= 15% </t>
  </si>
  <si>
    <t>10% - 15%</t>
  </si>
  <si>
    <t>&lt;10%</t>
  </si>
  <si>
    <t xml:space="preserve">Leverage (TOL/TNW) </t>
  </si>
  <si>
    <t>&lt; 3 times</t>
  </si>
  <si>
    <t>3 – 3.5 times</t>
  </si>
  <si>
    <t>&gt; 3.5 times</t>
  </si>
  <si>
    <t>DSCR- (existing)</t>
  </si>
  <si>
    <t>&gt;= 1.10 X</t>
  </si>
  <si>
    <t>&gt;=1.00 X</t>
  </si>
  <si>
    <t>&lt; 1</t>
  </si>
  <si>
    <t>BTO- 6 months</t>
  </si>
  <si>
    <t>&gt;=80%</t>
  </si>
  <si>
    <t>60% - 80%</t>
  </si>
  <si>
    <t>Below 60%</t>
  </si>
  <si>
    <t>ABB/EMI (In Last 6 Months - Based on D.A.B.B)</t>
  </si>
  <si>
    <t>&gt;= 1.50 X</t>
  </si>
  <si>
    <t>Inwards Return (in last 6 Months) - Non Technical Reasons</t>
  </si>
  <si>
    <t>Score Total</t>
  </si>
  <si>
    <t>Efficiency</t>
  </si>
  <si>
    <t>Premises Ownership ( Clinic/Hospital/Residence)</t>
  </si>
  <si>
    <t xml:space="preserve">Consumer CIBIL ** Lowest of all individuals/PGs </t>
  </si>
  <si>
    <t>&gt;= 760</t>
  </si>
  <si>
    <t>721 – 761</t>
  </si>
  <si>
    <t>CMR Score (For Others - Including Proprietorship firm)</t>
  </si>
  <si>
    <t>CMR I to III</t>
  </si>
  <si>
    <t>CMR IV &amp; V</t>
  </si>
  <si>
    <t>CMR VI onw.</t>
  </si>
  <si>
    <t>Financials</t>
  </si>
  <si>
    <t>150 to 300</t>
  </si>
  <si>
    <t>&lt; 150</t>
  </si>
  <si>
    <t xml:space="preserve">200 to 500 </t>
  </si>
  <si>
    <t>&lt; 200</t>
  </si>
  <si>
    <t>15% - 20%</t>
  </si>
  <si>
    <t>&lt;15%</t>
  </si>
  <si>
    <t>3 to 5 times</t>
  </si>
  <si>
    <t>&gt; 5 times</t>
  </si>
  <si>
    <t>Leverage (TOL/TNW)  Existing</t>
  </si>
  <si>
    <t>Leverage (TOL/TNW)  Post Funded</t>
  </si>
  <si>
    <t>&lt; 5 times</t>
  </si>
  <si>
    <t>5 – 6 times</t>
  </si>
  <si>
    <t>&gt; 7 times</t>
  </si>
  <si>
    <t>DSCR- (Existing)</t>
  </si>
  <si>
    <t>DSCR- (Post Funded)</t>
  </si>
  <si>
    <t>Business Type</t>
  </si>
  <si>
    <t>Type A</t>
  </si>
  <si>
    <t>Type B</t>
  </si>
  <si>
    <t>Type C</t>
  </si>
  <si>
    <t>A</t>
  </si>
  <si>
    <t>B</t>
  </si>
  <si>
    <t>C</t>
  </si>
  <si>
    <t>Code</t>
  </si>
  <si>
    <t>Industry</t>
  </si>
  <si>
    <t>Health Services</t>
  </si>
  <si>
    <t>Offices and Clinics of Medical Doctors</t>
  </si>
  <si>
    <t>Offices and Clinics of Dentists</t>
  </si>
  <si>
    <t>Offices and Clinics of Osteopathic Physic</t>
  </si>
  <si>
    <t>Offices and Clinics of Chiropractors</t>
  </si>
  <si>
    <t>Offices and Clinics of Optometrists</t>
  </si>
  <si>
    <t>Offices and Clinics of Podiatrists</t>
  </si>
  <si>
    <t>Offices of Health Practitioner</t>
  </si>
  <si>
    <t>Services-Nursing &amp; Personal Care Facilities</t>
  </si>
  <si>
    <t>Services-Hospitals</t>
  </si>
  <si>
    <t>General Medical&amp;Surgical Hospitals</t>
  </si>
  <si>
    <t>Psychiatric Hospitals</t>
  </si>
  <si>
    <t>Medical Laboratories</t>
  </si>
  <si>
    <t>Dental Laboratories</t>
  </si>
  <si>
    <t>Outpatient Care Facilities</t>
  </si>
  <si>
    <t>Home Health Care Services</t>
  </si>
  <si>
    <t>Services-Misc Health &amp; Allied Services, NEC</t>
  </si>
  <si>
    <t>Kidney Dialysis Centers</t>
  </si>
  <si>
    <t>Specialty Outpatient Clinics, Nec</t>
  </si>
  <si>
    <t>SIC Industry</t>
  </si>
  <si>
    <t>SIC Code</t>
  </si>
  <si>
    <t>Banking Analysis</t>
  </si>
  <si>
    <t>Repayment Analysis</t>
  </si>
  <si>
    <t>Risk Cals_Us</t>
  </si>
  <si>
    <t>HFS PD Model (PD Proxy)</t>
  </si>
  <si>
    <t>Delinquency</t>
  </si>
  <si>
    <t>OR15</t>
  </si>
  <si>
    <t>OR Rating</t>
  </si>
  <si>
    <t>PD Prox -13</t>
  </si>
  <si>
    <t>Current</t>
  </si>
  <si>
    <t>30-89 DPD</t>
  </si>
  <si>
    <t>Non-DI</t>
  </si>
  <si>
    <t>All</t>
  </si>
  <si>
    <t>OR16</t>
  </si>
  <si>
    <t>OR21</t>
  </si>
  <si>
    <t>LGD Proxy - 0.2(LR2)</t>
  </si>
  <si>
    <t>HFS LGD Model</t>
  </si>
  <si>
    <t xml:space="preserve">LGD Proxy </t>
  </si>
  <si>
    <t>LR Rating</t>
  </si>
  <si>
    <t>LR1</t>
  </si>
  <si>
    <t>LR2</t>
  </si>
  <si>
    <t>LR4</t>
  </si>
  <si>
    <t>Range</t>
  </si>
  <si>
    <t>LGD%</t>
  </si>
  <si>
    <t>LGD Score</t>
  </si>
  <si>
    <t>LR3</t>
  </si>
  <si>
    <t>LR5</t>
  </si>
  <si>
    <t>LR6</t>
  </si>
  <si>
    <t>0-10%</t>
  </si>
  <si>
    <t>10-20%</t>
  </si>
  <si>
    <t>20-30%</t>
  </si>
  <si>
    <t>30-50%</t>
  </si>
  <si>
    <t>50-75%</t>
  </si>
  <si>
    <t>75-100%</t>
  </si>
  <si>
    <t>GE Scale Rating</t>
  </si>
  <si>
    <t>Letter Equivalent</t>
  </si>
  <si>
    <t>GEPD</t>
  </si>
  <si>
    <t>%</t>
  </si>
  <si>
    <t>OR1</t>
  </si>
  <si>
    <t>OR2</t>
  </si>
  <si>
    <t>OR3</t>
  </si>
  <si>
    <t>OR4</t>
  </si>
  <si>
    <t>OR5</t>
  </si>
  <si>
    <t>OR6</t>
  </si>
  <si>
    <t>OR7</t>
  </si>
  <si>
    <t>OR8</t>
  </si>
  <si>
    <t>OR10</t>
  </si>
  <si>
    <t>OR11</t>
  </si>
  <si>
    <t>OR12</t>
  </si>
  <si>
    <t>OR13</t>
  </si>
  <si>
    <t>OR14</t>
  </si>
  <si>
    <t>OR17</t>
  </si>
  <si>
    <t>OR18</t>
  </si>
  <si>
    <t>OR19</t>
  </si>
  <si>
    <t>OR20</t>
  </si>
  <si>
    <t>ORD</t>
  </si>
  <si>
    <t>AAA</t>
  </si>
  <si>
    <t>AA+</t>
  </si>
  <si>
    <t>AA</t>
  </si>
  <si>
    <t>AA-</t>
  </si>
  <si>
    <t>A+</t>
  </si>
  <si>
    <t>A-</t>
  </si>
  <si>
    <t>BBB+</t>
  </si>
  <si>
    <t>BBB-</t>
  </si>
  <si>
    <t>BB+</t>
  </si>
  <si>
    <t>BB</t>
  </si>
  <si>
    <t>BB-</t>
  </si>
  <si>
    <t>B+</t>
  </si>
  <si>
    <t>B-</t>
  </si>
  <si>
    <t>CCC</t>
  </si>
  <si>
    <t>CC</t>
  </si>
  <si>
    <t>D</t>
  </si>
  <si>
    <t>Asset Size (Plant and Machinery)</t>
  </si>
  <si>
    <t>Category A</t>
  </si>
  <si>
    <t>LCG Proxy</t>
  </si>
  <si>
    <t>LGD %</t>
  </si>
  <si>
    <t>Hospital,Non Start-up</t>
  </si>
  <si>
    <t>Other,Non Start-up</t>
  </si>
  <si>
    <t>Hospital,Start-up</t>
  </si>
  <si>
    <t xml:space="preserve">Rating </t>
  </si>
  <si>
    <t>Other,Start-up</t>
  </si>
  <si>
    <t xml:space="preserve">LGD </t>
  </si>
  <si>
    <t>5%</t>
  </si>
  <si>
    <t>15%</t>
  </si>
  <si>
    <t>25%</t>
  </si>
  <si>
    <t>40%</t>
  </si>
  <si>
    <t>62.5%</t>
  </si>
  <si>
    <t>87.5%</t>
  </si>
  <si>
    <t xml:space="preserve">For Update List Visit: </t>
  </si>
  <si>
    <t>www.askbankifsccode.com</t>
  </si>
  <si>
    <t>State Type</t>
  </si>
  <si>
    <t>Andaman Nicobar</t>
  </si>
  <si>
    <t>Nicobar</t>
  </si>
  <si>
    <t>Union Territory</t>
  </si>
  <si>
    <t>North Middle Andaman</t>
  </si>
  <si>
    <t>South Andaman</t>
  </si>
  <si>
    <t>Andhra Pradesh</t>
  </si>
  <si>
    <t>Anantapur</t>
  </si>
  <si>
    <t>Chittoor</t>
  </si>
  <si>
    <t>East Godavari</t>
  </si>
  <si>
    <t>Guntur</t>
  </si>
  <si>
    <t>Kadapa</t>
  </si>
  <si>
    <t>Krishna</t>
  </si>
  <si>
    <t>Kurnool</t>
  </si>
  <si>
    <t>Nellore</t>
  </si>
  <si>
    <t>Prakasam</t>
  </si>
  <si>
    <t>Srikakulam</t>
  </si>
  <si>
    <t>Visakhapatnam</t>
  </si>
  <si>
    <t>Vizianagaram</t>
  </si>
  <si>
    <t>West Godavari</t>
  </si>
  <si>
    <t>Arunachal Pradesh</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</si>
  <si>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</si>
  <si>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</si>
  <si>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</si>
  <si>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</si>
  <si>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</si>
  <si>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</si>
  <si>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</si>
  <si>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</si>
  <si>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</si>
  <si>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</si>
  <si>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</si>
  <si>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</si>
  <si>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</si>
  <si>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</si>
  <si>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</si>
  <si>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</si>
  <si>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</si>
  <si>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</si>
  <si>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</si>
  <si>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</si>
  <si>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</si>
  <si>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</si>
  <si>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</si>
  <si>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</si>
  <si>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</si>
  <si>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Assam</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</si>
  <si>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</si>
  <si>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</si>
  <si>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</si>
  <si>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</si>
  <si>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</si>
  <si>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</si>
  <si>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</si>
  <si>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</si>
  <si>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</si>
  <si>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</si>
  <si>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</si>
  <si>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</si>
  <si>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</si>
  <si>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</si>
  <si>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</si>
  <si>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</si>
  <si>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</si>
  <si>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</si>
  <si>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</si>
  <si>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</si>
  <si>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</si>
  <si>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</si>
  <si>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</si>
  <si>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</si>
  <si>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</si>
  <si>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</si>
  <si>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</si>
  <si>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</si>
  <si>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</si>
  <si>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</si>
  <si>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</si>
  <si>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</si>
  <si>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</si>
  <si>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</si>
  <si>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</si>
  <si>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</si>
  <si>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</si>
  <si>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</si>
  <si>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</si>
  <si>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</si>
  <si>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</si>
  <si>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</si>
  <si>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</si>
  <si>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</si>
  <si>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</si>
  <si>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</si>
  <si>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</si>
  <si>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</si>
  <si>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</si>
  <si>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</si>
  <si>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</si>
  <si>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</si>
  <si>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</si>
  <si>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</si>
  <si>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</si>
  <si>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</si>
  <si>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</si>
  <si>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</si>
  <si>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</si>
  <si>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</si>
  <si>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</si>
  <si>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</si>
  <si>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</si>
  <si>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</si>
  <si>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</si>
  <si>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</si>
  <si>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</si>
  <si>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</si>
  <si>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</si>
  <si>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</si>
  <si>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</si>
  <si>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</si>
  <si>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</si>
  <si>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Chhattisgarh</t>
  </si>
  <si>
    <t>Balod</t>
  </si>
  <si>
    <t>Baloda Bazar</t>
  </si>
  <si>
    <t>Balrampur</t>
  </si>
  <si>
    <t>Bastar</t>
  </si>
  <si>
    <t>Bemetara</t>
  </si>
  <si>
    <t>Bijapur</t>
  </si>
  <si>
    <t>Bilaspur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</si>
  <si>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</si>
  <si>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</si>
  <si>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</si>
  <si>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</si>
  <si>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</si>
  <si>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</si>
  <si>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</si>
  <si>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</si>
  <si>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</si>
  <si>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</si>
  <si>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</si>
  <si>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</si>
  <si>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</si>
  <si>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</si>
  <si>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</si>
  <si>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</si>
  <si>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Raipur</t>
  </si>
  <si>
    <t>Rajnandgaon</t>
  </si>
  <si>
    <t>Sukma</t>
  </si>
  <si>
    <t>Surajpur</t>
  </si>
  <si>
    <t>Surguja</t>
  </si>
  <si>
    <t>Dadra Nagar Haveli</t>
  </si>
  <si>
    <t>Daman Diu</t>
  </si>
  <si>
    <t>Daman</t>
  </si>
  <si>
    <t>Diu</t>
  </si>
  <si>
    <t>Delhi</t>
  </si>
  <si>
    <t>Central Delhi</t>
  </si>
  <si>
    <t>East Delhi</t>
  </si>
  <si>
    <t>New Delhi</t>
  </si>
  <si>
    <t>North Delhi</t>
  </si>
  <si>
    <t>North East Delhi</t>
  </si>
  <si>
    <t>North West Delhi</t>
  </si>
  <si>
    <t>Shahdara</t>
  </si>
  <si>
    <t>South Delhi</t>
  </si>
  <si>
    <t>South East Delhi</t>
  </si>
  <si>
    <t>South West Delhi</t>
  </si>
  <si>
    <t>West Delhi</t>
  </si>
  <si>
    <t>Goa</t>
  </si>
  <si>
    <t>North Goa</t>
  </si>
  <si>
    <t>South Goa</t>
  </si>
  <si>
    <t>Gujarat</t>
  </si>
  <si>
    <t>Amreli</t>
  </si>
  <si>
    <t>Anand</t>
  </si>
  <si>
    <t>Aravalli</t>
  </si>
  <si>
    <t>Banaskantha</t>
  </si>
  <si>
    <t>Bharuch</t>
  </si>
  <si>
    <t>Bhavnagar</t>
  </si>
  <si>
    <t>Botad</t>
  </si>
  <si>
    <t>Chhota Udaipur</t>
  </si>
  <si>
    <t>Dahod</t>
  </si>
  <si>
    <t>Dang</t>
  </si>
  <si>
    <t>Devbhoomi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</si>
  <si>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</si>
  <si>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</si>
  <si>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</si>
  <si>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</si>
  <si>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</si>
  <si>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</si>
  <si>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</si>
  <si>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</si>
  <si>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</si>
  <si>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</si>
  <si>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</si>
  <si>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</si>
  <si>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</si>
  <si>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</si>
  <si>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</si>
  <si>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</si>
  <si>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</si>
  <si>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</si>
  <si>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</si>
  <si>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</si>
  <si>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</si>
  <si>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</si>
  <si>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</si>
  <si>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</si>
  <si>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</si>
  <si>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</si>
  <si>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</si>
  <si>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</si>
  <si>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</si>
  <si>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</si>
  <si>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</si>
  <si>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</si>
  <si>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</si>
  <si>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</si>
  <si>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</si>
  <si>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</si>
  <si>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</si>
  <si>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</si>
  <si>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</si>
  <si>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</si>
  <si>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</si>
  <si>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</si>
  <si>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</si>
  <si>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</si>
  <si>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</si>
  <si>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Chamba</t>
  </si>
  <si>
    <t>Hamirpur</t>
  </si>
  <si>
    <t>Kangra</t>
  </si>
  <si>
    <t>Kinnaur</t>
  </si>
  <si>
    <t>Kullu</t>
  </si>
  <si>
    <t>Lahaul Spiti</t>
  </si>
  <si>
    <t>Mandi</t>
  </si>
  <si>
    <t>Shimla</t>
  </si>
  <si>
    <t>Sirmaur</t>
  </si>
  <si>
    <t>Solan</t>
  </si>
  <si>
    <t>Una</t>
  </si>
  <si>
    <t>Jammu Kashmir</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</si>
  <si>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</si>
  <si>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</si>
  <si>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</si>
  <si>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</si>
  <si>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</si>
  <si>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</si>
  <si>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</si>
  <si>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</si>
  <si>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</si>
  <si>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</si>
  <si>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</si>
  <si>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</si>
  <si>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</si>
  <si>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</si>
  <si>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</si>
  <si>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</si>
  <si>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</si>
  <si>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</si>
  <si>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</si>
  <si>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</si>
  <si>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Jharkhand</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</si>
  <si>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</si>
  <si>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</si>
  <si>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</si>
  <si>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</si>
  <si>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</si>
  <si>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</si>
  <si>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</si>
  <si>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</si>
  <si>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</si>
  <si>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</si>
  <si>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</si>
  <si>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</si>
  <si>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</si>
  <si>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</si>
  <si>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</si>
  <si>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</si>
  <si>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</si>
  <si>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</si>
  <si>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</si>
  <si>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</si>
  <si>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</si>
  <si>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</si>
  <si>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</si>
  <si>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</si>
  <si>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Karnataka</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</si>
  <si>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</si>
  <si>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</si>
  <si>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</si>
  <si>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</si>
  <si>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</si>
  <si>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</si>
  <si>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</si>
  <si>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</si>
  <si>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</si>
  <si>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</si>
  <si>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</si>
  <si>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</si>
  <si>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</si>
  <si>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</si>
  <si>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</si>
  <si>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</si>
  <si>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</si>
  <si>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</si>
  <si>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</si>
  <si>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</si>
  <si>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</si>
  <si>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</si>
  <si>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</si>
  <si>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</si>
  <si>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</si>
  <si>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</si>
  <si>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</si>
  <si>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</si>
  <si>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 xml:space="preserve">Vijayapura </t>
  </si>
  <si>
    <t>Yadgir</t>
  </si>
  <si>
    <t>Kerala</t>
  </si>
  <si>
    <t>Alappuzha</t>
  </si>
  <si>
    <t>Ernakulam</t>
  </si>
  <si>
    <t>Idukki</t>
  </si>
  <si>
    <t>Kannur</t>
  </si>
  <si>
    <t>Kasaragod</t>
  </si>
  <si>
    <t>Kollam</t>
  </si>
  <si>
    <t>Kottayam</t>
  </si>
  <si>
    <t>Kozhikode</t>
  </si>
  <si>
    <t>Malappuram</t>
  </si>
  <si>
    <t>Palakkad</t>
  </si>
  <si>
    <t>Pathanamthitta</t>
  </si>
  <si>
    <t>Thiruvananthapuram</t>
  </si>
  <si>
    <t>Thrissur</t>
  </si>
  <si>
    <t>Wayanad</t>
  </si>
  <si>
    <t>Ladakh</t>
  </si>
  <si>
    <t>Kargil</t>
  </si>
  <si>
    <t>Leh</t>
  </si>
  <si>
    <t>Lakshadweep</t>
  </si>
  <si>
    <t>Madhya Pradesh</t>
  </si>
  <si>
    <t>Agar Malwa</t>
  </si>
  <si>
    <t>Alirajpur</t>
  </si>
  <si>
    <t>Anuppur</t>
  </si>
  <si>
    <t>Ashoknagar</t>
  </si>
  <si>
    <t>Balaghat</t>
  </si>
  <si>
    <t>Barwani</t>
  </si>
  <si>
    <t>Betul</t>
  </si>
  <si>
    <t>Bhind</t>
  </si>
  <si>
    <t>Bhopal</t>
  </si>
  <si>
    <t>Burhanpur</t>
  </si>
  <si>
    <t>Chachaura</t>
  </si>
  <si>
    <t>Chhatarpur</t>
  </si>
  <si>
    <t>Chhindwara</t>
  </si>
  <si>
    <t>Damoh</t>
  </si>
  <si>
    <t>Datia</t>
  </si>
  <si>
    <t>Dewas</t>
  </si>
  <si>
    <t>Dhar</t>
  </si>
  <si>
    <t>Dindori</t>
  </si>
  <si>
    <t>Guna</t>
  </si>
  <si>
    <t>Gwalior</t>
  </si>
  <si>
    <t>Harda</t>
  </si>
  <si>
    <t>Hoshangabad</t>
  </si>
  <si>
    <t>Indore</t>
  </si>
  <si>
    <t>Jabalpur</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</si>
  <si>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</si>
  <si>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</si>
  <si>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</si>
  <si>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</si>
  <si>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</si>
  <si>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</si>
  <si>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</si>
  <si>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</si>
  <si>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</si>
  <si>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</si>
  <si>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</si>
  <si>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</si>
  <si>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</si>
  <si>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</si>
  <si>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</si>
  <si>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</si>
  <si>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</si>
  <si>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</si>
  <si>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</si>
  <si>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</si>
  <si>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</si>
  <si>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</si>
  <si>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</si>
  <si>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</si>
  <si>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</si>
  <si>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</si>
  <si>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</si>
  <si>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</si>
  <si>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</si>
  <si>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</si>
  <si>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</si>
  <si>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</si>
  <si>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</si>
  <si>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Akola</t>
  </si>
  <si>
    <t>Amravati</t>
  </si>
  <si>
    <t>Beed</t>
  </si>
  <si>
    <t>Bhandara</t>
  </si>
  <si>
    <t>Buldhana</t>
  </si>
  <si>
    <t>Chandrapur</t>
  </si>
  <si>
    <t>Dhule</t>
  </si>
  <si>
    <t>Gadchiroli</t>
  </si>
  <si>
    <t>Gondia</t>
  </si>
  <si>
    <t>Hingoli</t>
  </si>
  <si>
    <t>Jalgaon</t>
  </si>
  <si>
    <t>Jalna</t>
  </si>
  <si>
    <t>Kolhapur</t>
  </si>
  <si>
    <t>Latur</t>
  </si>
  <si>
    <t>Mumbai City</t>
  </si>
  <si>
    <t>Mumbai Suburban</t>
  </si>
  <si>
    <t>Nagpur</t>
  </si>
  <si>
    <t>Nanded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</si>
  <si>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</si>
  <si>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</si>
  <si>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</si>
  <si>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</si>
  <si>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</si>
  <si>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</si>
  <si>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</si>
  <si>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</si>
  <si>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</si>
  <si>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</si>
  <si>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</si>
  <si>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</si>
  <si>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</si>
  <si>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</si>
  <si>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</si>
  <si>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</si>
  <si>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</si>
  <si>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</si>
  <si>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</si>
  <si>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</si>
  <si>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</si>
  <si>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</si>
  <si>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</si>
  <si>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</si>
  <si>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</si>
  <si>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</si>
  <si>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</si>
  <si>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</si>
  <si>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</si>
  <si>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</si>
  <si>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</si>
  <si>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</si>
  <si>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</si>
  <si>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Meghalaya</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</si>
  <si>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</si>
  <si>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</si>
  <si>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</si>
  <si>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</si>
  <si>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</si>
  <si>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</si>
  <si>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</si>
  <si>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</si>
  <si>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</si>
  <si>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</si>
  <si>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</si>
  <si>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</si>
  <si>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</si>
  <si>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Champhai</t>
  </si>
  <si>
    <t>Kolasib</t>
  </si>
  <si>
    <t>Lawngtlai</t>
  </si>
  <si>
    <t>Lunglei</t>
  </si>
  <si>
    <t>Mamit</t>
  </si>
  <si>
    <t>Saiha</t>
  </si>
  <si>
    <t>Serchhip</t>
  </si>
  <si>
    <t>Nagaland</t>
  </si>
  <si>
    <t>Dimapur</t>
  </si>
  <si>
    <t>Kiphire</t>
  </si>
  <si>
    <t>Kohima</t>
  </si>
  <si>
    <t>Longleng</t>
  </si>
  <si>
    <t>Mokokchung</t>
  </si>
  <si>
    <t>Mon</t>
  </si>
  <si>
    <t>Noklak</t>
  </si>
  <si>
    <t>Peren</t>
  </si>
  <si>
    <t>Phek</t>
  </si>
  <si>
    <t>Tuensang</t>
  </si>
  <si>
    <t>Wokha</t>
  </si>
  <si>
    <t>Zunheboto</t>
  </si>
  <si>
    <t>Odisha</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</si>
  <si>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</si>
  <si>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</si>
  <si>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</si>
  <si>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</si>
  <si>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</si>
  <si>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</si>
  <si>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</si>
  <si>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</si>
  <si>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</si>
  <si>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</si>
  <si>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</si>
  <si>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</si>
  <si>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</si>
  <si>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</si>
  <si>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</si>
  <si>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</si>
  <si>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</si>
  <si>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</si>
  <si>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</si>
  <si>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</si>
  <si>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</si>
  <si>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</si>
  <si>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</si>
  <si>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</si>
  <si>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</si>
  <si>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</si>
  <si>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</si>
  <si>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</si>
  <si>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</si>
  <si>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</si>
  <si>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Puducherry</t>
  </si>
  <si>
    <t>Karaikal</t>
  </si>
  <si>
    <t>Mahe</t>
  </si>
  <si>
    <t>Yanam</t>
  </si>
  <si>
    <t>Punjab</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</si>
  <si>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</si>
  <si>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</si>
  <si>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</si>
  <si>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</si>
  <si>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</si>
  <si>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</si>
  <si>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</si>
  <si>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</si>
  <si>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</si>
  <si>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</si>
  <si>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</si>
  <si>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</si>
  <si>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</si>
  <si>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</si>
  <si>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</si>
  <si>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</si>
  <si>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</si>
  <si>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</si>
  <si>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</si>
  <si>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</si>
  <si>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</si>
  <si>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</si>
  <si>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Rajasthan</t>
  </si>
  <si>
    <t>Ajmer</t>
  </si>
  <si>
    <t>Alwar</t>
  </si>
  <si>
    <t>Banswara</t>
  </si>
  <si>
    <t>Baran</t>
  </si>
  <si>
    <t>Barmer</t>
  </si>
  <si>
    <t>Bharatpur</t>
  </si>
  <si>
    <t>Bhilwara</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</si>
  <si>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</si>
  <si>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</si>
  <si>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</si>
  <si>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</si>
  <si>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</si>
  <si>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</si>
  <si>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</si>
  <si>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</si>
  <si>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</si>
  <si>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</si>
  <si>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</si>
  <si>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</si>
  <si>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</si>
  <si>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</si>
  <si>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</si>
  <si>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</si>
  <si>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</si>
  <si>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</si>
  <si>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</si>
  <si>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</si>
  <si>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</si>
  <si>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</si>
  <si>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</si>
  <si>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</si>
  <si>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</si>
  <si>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</si>
  <si>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Sikkim</t>
  </si>
  <si>
    <t>East Sikkim</t>
  </si>
  <si>
    <t>North Sikkim</t>
  </si>
  <si>
    <t>South Sikkim</t>
  </si>
  <si>
    <t>West Sikkim</t>
  </si>
  <si>
    <t>Tamil Nadu</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</si>
  <si>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</si>
  <si>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</si>
  <si>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</si>
  <si>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</si>
  <si>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</si>
  <si>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</si>
  <si>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</si>
  <si>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</si>
  <si>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</si>
  <si>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</si>
  <si>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</si>
  <si>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</si>
  <si>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</si>
  <si>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</si>
  <si>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</si>
  <si>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</si>
  <si>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</si>
  <si>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</si>
  <si>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</si>
  <si>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</si>
  <si>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</si>
  <si>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</si>
  <si>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</si>
  <si>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</si>
  <si>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</si>
  <si>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</si>
  <si>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</si>
  <si>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</si>
  <si>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</si>
  <si>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</si>
  <si>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</si>
  <si>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</si>
  <si>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</si>
  <si>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</si>
  <si>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</si>
  <si>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</si>
  <si>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</si>
  <si>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</si>
  <si>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Telangana</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</si>
  <si>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</si>
  <si>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</si>
  <si>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</si>
  <si>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</si>
  <si>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</si>
  <si>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</si>
  <si>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</si>
  <si>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</si>
  <si>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</si>
  <si>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</si>
  <si>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</si>
  <si>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</si>
  <si>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</si>
  <si>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</si>
  <si>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</si>
  <si>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</si>
  <si>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</si>
  <si>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</si>
  <si>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</si>
  <si>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</si>
  <si>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</si>
  <si>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</si>
  <si>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</si>
  <si>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</si>
  <si>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</si>
  <si>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</si>
  <si>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</si>
  <si>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</si>
  <si>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</si>
  <si>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</si>
  <si>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</si>
  <si>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</si>
  <si>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</si>
  <si>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Tripura</t>
  </si>
  <si>
    <t>Dhalai</t>
  </si>
  <si>
    <t>Gomati</t>
  </si>
  <si>
    <t>Khowai</t>
  </si>
  <si>
    <t>North Tripura</t>
  </si>
  <si>
    <t>Sepahijala</t>
  </si>
  <si>
    <t>South Tripura</t>
  </si>
  <si>
    <t>Unakoti</t>
  </si>
  <si>
    <t>West Tripura</t>
  </si>
  <si>
    <t>Uttar Pradesh</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</si>
  <si>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</si>
  <si>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</si>
  <si>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</si>
  <si>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</si>
  <si>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</si>
  <si>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</si>
  <si>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</si>
  <si>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</si>
  <si>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</si>
  <si>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</si>
  <si>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</si>
  <si>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</si>
  <si>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</si>
  <si>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</si>
  <si>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</si>
  <si>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</si>
  <si>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</si>
  <si>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</si>
  <si>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</si>
  <si>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</si>
  <si>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</si>
  <si>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</si>
  <si>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</si>
  <si>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</si>
  <si>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</si>
  <si>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</si>
  <si>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</si>
  <si>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</si>
  <si>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</si>
  <si>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</si>
  <si>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</si>
  <si>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</si>
  <si>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</si>
  <si>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</si>
  <si>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</si>
  <si>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</si>
  <si>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</si>
  <si>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</si>
  <si>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</si>
  <si>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</si>
  <si>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</si>
  <si>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</si>
  <si>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</si>
  <si>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Kheri</t>
  </si>
  <si>
    <t>Kushinagar</t>
  </si>
  <si>
    <t>Lalitpur</t>
  </si>
  <si>
    <t>Lucknow</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</si>
  <si>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</si>
  <si>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</si>
  <si>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</si>
  <si>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</si>
  <si>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</si>
  <si>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</si>
  <si>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</si>
  <si>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</si>
  <si>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</si>
  <si>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</si>
  <si>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</si>
  <si>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</si>
  <si>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</si>
  <si>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</si>
  <si>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</si>
  <si>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</si>
  <si>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</si>
  <si>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</si>
  <si>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</si>
  <si>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</si>
  <si>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</si>
  <si>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</si>
  <si>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</si>
  <si>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</si>
  <si>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Varanasi</t>
  </si>
  <si>
    <t>Uttarakhand</t>
  </si>
  <si>
    <t>Almora</t>
  </si>
  <si>
    <t>Bageshwar</t>
  </si>
  <si>
    <t>Chamoli</t>
  </si>
  <si>
    <t>Champawat</t>
  </si>
  <si>
    <t>Dehradun</t>
  </si>
  <si>
    <t>Haridwar</t>
  </si>
  <si>
    <t>Nainital</t>
  </si>
  <si>
    <t>Pauri</t>
  </si>
  <si>
    <t>Pithoragarh</t>
  </si>
  <si>
    <t>Rudraprayag</t>
  </si>
  <si>
    <t>Tehri</t>
  </si>
  <si>
    <t>Udham Singh Nagar</t>
  </si>
  <si>
    <t>Uttarkashi</t>
  </si>
  <si>
    <t>West Bengal</t>
  </si>
  <si>
    <t>Alipurduar</t>
  </si>
  <si>
    <t>Bankura</t>
  </si>
  <si>
    <t>Birbhum</t>
  </si>
  <si>
    <t>Cooch Behar</t>
  </si>
  <si>
    <t>Dakshin Dinajpur</t>
  </si>
  <si>
    <t>Darjeeling</t>
  </si>
  <si>
    <t>Hooghly</t>
  </si>
  <si>
    <t>Howrah</t>
  </si>
  <si>
    <t>Jalpaiguri</t>
  </si>
  <si>
    <t>Jhargram</t>
  </si>
  <si>
    <t>Kalimpong</t>
  </si>
  <si>
    <t>Kolkata</t>
  </si>
  <si>
    <t>Malda</t>
  </si>
  <si>
    <t>Murshidabad</t>
  </si>
  <si>
    <t>Nadia</t>
  </si>
  <si>
    <t>North 24 Parganas</t>
  </si>
  <si>
    <t>Paschim Bardhaman</t>
  </si>
  <si>
    <t>Paschim Medinipur</t>
  </si>
  <si>
    <t>Purba Bardhaman</t>
  </si>
  <si>
    <t>Purba Medinipur</t>
  </si>
  <si>
    <t>Purulia</t>
  </si>
  <si>
    <t>South 24 Parganas</t>
  </si>
  <si>
    <t>Uttar Dinajpur</t>
  </si>
  <si>
    <t>Grand Total</t>
  </si>
  <si>
    <t>Andaman Nicobar Total</t>
  </si>
  <si>
    <t>Andhra Pradesh Total</t>
  </si>
  <si>
    <t>Arunachal Pradesh Total</t>
  </si>
  <si>
    <t>Assam Total</t>
  </si>
  <si>
    <t>Bihar Total</t>
  </si>
  <si>
    <t>Chandigarh Total</t>
  </si>
  <si>
    <t>Chhattisgarh Total</t>
  </si>
  <si>
    <t>Dadra Nagar Haveli Total</t>
  </si>
  <si>
    <t>Daman Diu Total</t>
  </si>
  <si>
    <t>Delhi Total</t>
  </si>
  <si>
    <t>Goa Total</t>
  </si>
  <si>
    <t>Gujarat Total</t>
  </si>
  <si>
    <t>Haryana Total</t>
  </si>
  <si>
    <t>Himachal Pradesh Total</t>
  </si>
  <si>
    <t>Jammu Kashmir Total</t>
  </si>
  <si>
    <t>Jharkhand Total</t>
  </si>
  <si>
    <t>Karnataka Total</t>
  </si>
  <si>
    <t>Kerala Total</t>
  </si>
  <si>
    <t>Ladakh Total</t>
  </si>
  <si>
    <t>Lakshadweep Total</t>
  </si>
  <si>
    <t>Madhya Pradesh Total</t>
  </si>
  <si>
    <t>Maharashtra Total</t>
  </si>
  <si>
    <t>Manipur Total</t>
  </si>
  <si>
    <t>Meghalaya Total</t>
  </si>
  <si>
    <t>Mizoram Total</t>
  </si>
  <si>
    <t>Nagaland Total</t>
  </si>
  <si>
    <t>Odisha Total</t>
  </si>
  <si>
    <t>Puducherry Total</t>
  </si>
  <si>
    <t>Punjab Total</t>
  </si>
  <si>
    <t>Rajasthan Total</t>
  </si>
  <si>
    <t>Sikkim Total</t>
  </si>
  <si>
    <t>Tamil Nadu Total</t>
  </si>
  <si>
    <t>Telangana Total</t>
  </si>
  <si>
    <t>Tripura Total</t>
  </si>
  <si>
    <t>Uttar Pradesh Total</t>
  </si>
  <si>
    <t>Uttarakhand Total</t>
  </si>
  <si>
    <t>West Bengal Total</t>
  </si>
  <si>
    <t>FCU/RCU</t>
  </si>
  <si>
    <t>Dedupe / Posidex</t>
  </si>
  <si>
    <t>Google Search</t>
  </si>
  <si>
    <t>Commercial CIBIL</t>
  </si>
  <si>
    <t>Consumer CIBIL</t>
  </si>
  <si>
    <t>RBI Default List</t>
  </si>
  <si>
    <t>Independent Reference Check</t>
  </si>
  <si>
    <t>Particulars</t>
  </si>
  <si>
    <t>Status</t>
  </si>
  <si>
    <t>Remarks</t>
  </si>
  <si>
    <t>CPV - Residence &amp; Office</t>
  </si>
  <si>
    <t>External Rating</t>
  </si>
  <si>
    <t>MSME Rating</t>
  </si>
  <si>
    <t>Save Risk Particulars</t>
  </si>
  <si>
    <t>Save Risk Hit</t>
  </si>
  <si>
    <t>Any Legal Cases Underway?</t>
  </si>
  <si>
    <t>Shareholders list Match with Borrower List</t>
  </si>
  <si>
    <t>Other Comments on Save Risk</t>
  </si>
  <si>
    <t>Any Cross holding in Real Estate / Negative Industry List</t>
  </si>
  <si>
    <t>Any Negative Match in Media Section</t>
  </si>
  <si>
    <t>ICICI Prudential Prem.</t>
  </si>
  <si>
    <t>Bharti Axa Prem</t>
  </si>
  <si>
    <t>Rate of Interest (%)</t>
  </si>
  <si>
    <t>Audited and Filed</t>
  </si>
  <si>
    <t>Balance on 1st</t>
  </si>
  <si>
    <t>Ultrasonography System</t>
  </si>
  <si>
    <t>MRI, Mobile MRI</t>
  </si>
  <si>
    <t>CT/PET CT Scanner</t>
  </si>
  <si>
    <t>Mammography</t>
  </si>
  <si>
    <t>BMD, Ultrasound</t>
  </si>
  <si>
    <t>X-Ray / C-ARM</t>
  </si>
  <si>
    <t>LINEAC  ACC, Gamma Camera</t>
  </si>
  <si>
    <t>Cath / Angiography Lab</t>
  </si>
  <si>
    <t>Refurbished Cat A equipment</t>
  </si>
  <si>
    <t>Ventilator,  Adult/Pediatric</t>
  </si>
  <si>
    <t>Urology  Equipments</t>
  </si>
  <si>
    <t>Hemodialysis machine</t>
  </si>
  <si>
    <t>Anesthetic Machine</t>
  </si>
  <si>
    <t>Electronic Video Endoscopy System</t>
  </si>
  <si>
    <t>Double-Balloon Endoscope</t>
  </si>
  <si>
    <t>R/F Room</t>
  </si>
  <si>
    <t>Electrosurgical unit</t>
  </si>
  <si>
    <t>Eye examination microscope with tonometer</t>
  </si>
  <si>
    <t>CR/DR System</t>
  </si>
  <si>
    <t>All microscopic surgical equipment</t>
  </si>
  <si>
    <t xml:space="preserve">Laser Surgery Equipments, </t>
  </si>
  <si>
    <t>Pathology Eqpts</t>
  </si>
  <si>
    <t>Dialysis Eqpts</t>
  </si>
  <si>
    <t>Phaco &amp; Excimer Laser</t>
  </si>
  <si>
    <t>Other Ophthalmology Eqpts</t>
  </si>
  <si>
    <t>Defibrillator</t>
  </si>
  <si>
    <t>ECG Monitor, Vital Signs Monitor</t>
  </si>
  <si>
    <t>Operating  Theatre Table</t>
  </si>
  <si>
    <t>Operating Theatre Lamp, Mobile</t>
  </si>
  <si>
    <t>Hospital Furniture, Beds (Auto &amp; Standard)</t>
  </si>
  <si>
    <t>UPS, DG Sets, AC, Lifts</t>
  </si>
  <si>
    <t>Oxygen Lines</t>
  </si>
  <si>
    <t>Oxygen concentrators</t>
  </si>
  <si>
    <t>Oxygen gauges</t>
  </si>
  <si>
    <t>RO for Dialysis</t>
  </si>
  <si>
    <t>Asset Category</t>
  </si>
  <si>
    <t>Asset Categorization</t>
  </si>
  <si>
    <t>List of Equipments</t>
  </si>
  <si>
    <t>Category B</t>
  </si>
  <si>
    <t>Category C</t>
  </si>
  <si>
    <t>List of Equipment</t>
  </si>
  <si>
    <t>Multiple / Mixed / Bulk Purchase</t>
  </si>
  <si>
    <t>Modality</t>
  </si>
  <si>
    <t>Equipment Price (Rs. )</t>
  </si>
  <si>
    <t>Equipment Summary</t>
  </si>
  <si>
    <t>Final</t>
  </si>
  <si>
    <t>No of Equipment (#)</t>
  </si>
  <si>
    <t>Margin (Rs. )</t>
  </si>
  <si>
    <t>Loan Amount (Rs. )</t>
  </si>
  <si>
    <t>Eligibility</t>
  </si>
  <si>
    <t>Loss Given Default (LGD)</t>
  </si>
  <si>
    <t>Proposed Loan Amount (Rs. L)</t>
  </si>
  <si>
    <t>Loan Tenure (Months)</t>
  </si>
  <si>
    <t>Proposed EMI</t>
  </si>
  <si>
    <t>Proposed Clix EMI (Rs. )</t>
  </si>
  <si>
    <t>Existing Clix EMI (Rs. )</t>
  </si>
  <si>
    <t>Current EMI Obligation (Rs. )</t>
  </si>
  <si>
    <t>Fin-1</t>
  </si>
  <si>
    <t>Fin-2</t>
  </si>
  <si>
    <t>Fin-3</t>
  </si>
  <si>
    <t>Income Considered</t>
  </si>
  <si>
    <t>Total Revenue</t>
  </si>
  <si>
    <t>Debt Service Coverage Ratio ( Pre-Funded)</t>
  </si>
  <si>
    <t>Debt Service Coverage Ratio ( Post-Funded)</t>
  </si>
  <si>
    <t>TOL/TNW</t>
  </si>
  <si>
    <t>Post Funded TOL/TNW</t>
  </si>
  <si>
    <t>Reported EBIDTA Margin (%)</t>
  </si>
  <si>
    <t>Particulars (Rs. Lakhs)</t>
  </si>
  <si>
    <t>Tax Expenses</t>
  </si>
  <si>
    <t>Total Current EMI Obligation</t>
  </si>
  <si>
    <t>Total Proposed EMI Obligation</t>
  </si>
  <si>
    <t>Final EBITDA Considered for Eligibility</t>
  </si>
  <si>
    <t>Reported EBIDTA (Rs. L)</t>
  </si>
  <si>
    <t>Total Outside Liability</t>
  </si>
  <si>
    <t>Total Adjustable Tangible Networth</t>
  </si>
  <si>
    <t xml:space="preserve">Value </t>
  </si>
  <si>
    <t>I) CIBIL Score (For Individual)</t>
  </si>
  <si>
    <t>NA</t>
  </si>
  <si>
    <t>Beyond 3% of</t>
  </si>
  <si>
    <t>Upto 3% of</t>
  </si>
  <si>
    <t>Upto 2% of</t>
  </si>
  <si>
    <t>Inwards Return (in last 6 Months) - Non Technical</t>
  </si>
  <si>
    <t>ABB/EMI (In Last 12 Months - Based on D.A.B.B)</t>
  </si>
  <si>
    <t>BTO- 12 months</t>
  </si>
  <si>
    <t>&lt; 1.20 X</t>
  </si>
  <si>
    <t>&gt;=1.20 X- 1.40 X</t>
  </si>
  <si>
    <t>Debt/EBIDTA</t>
  </si>
  <si>
    <t>&lt;720</t>
  </si>
  <si>
    <r>
      <rPr>
        <u/>
        <sz val="9"/>
        <color indexed="8"/>
        <rFont val="Calibri"/>
        <family val="2"/>
        <scheme val="minor"/>
      </rPr>
      <t>&lt;</t>
    </r>
    <r>
      <rPr>
        <sz val="9"/>
        <color indexed="8"/>
        <rFont val="Calibri"/>
        <family val="2"/>
        <scheme val="minor"/>
      </rPr>
      <t xml:space="preserve"> 1.50 X</t>
    </r>
  </si>
  <si>
    <r>
      <rPr>
        <u/>
        <sz val="9"/>
        <color indexed="8"/>
        <rFont val="Calibri"/>
        <family val="2"/>
        <scheme val="minor"/>
      </rPr>
      <t>&lt;</t>
    </r>
    <r>
      <rPr>
        <sz val="9"/>
        <color indexed="8"/>
        <rFont val="Calibri"/>
        <family val="2"/>
        <scheme val="minor"/>
      </rPr>
      <t xml:space="preserve"> 1.00 X</t>
    </r>
  </si>
  <si>
    <r>
      <t>&gt;</t>
    </r>
    <r>
      <rPr>
        <sz val="9"/>
        <color rgb="FF000000"/>
        <rFont val="Calibri"/>
        <family val="2"/>
        <scheme val="minor"/>
      </rPr>
      <t xml:space="preserve"> INR 300</t>
    </r>
  </si>
  <si>
    <r>
      <t>&gt;</t>
    </r>
    <r>
      <rPr>
        <sz val="9"/>
        <color rgb="FF000000"/>
        <rFont val="Calibri"/>
        <family val="2"/>
        <scheme val="minor"/>
      </rPr>
      <t xml:space="preserve"> INR 500</t>
    </r>
  </si>
  <si>
    <r>
      <t>&gt;</t>
    </r>
    <r>
      <rPr>
        <sz val="9"/>
        <color rgb="FF000000"/>
        <rFont val="Calibri"/>
        <family val="2"/>
        <scheme val="minor"/>
      </rPr>
      <t xml:space="preserve"> 20% </t>
    </r>
  </si>
  <si>
    <r>
      <t>&gt;</t>
    </r>
    <r>
      <rPr>
        <sz val="9"/>
        <color rgb="FF000000"/>
        <rFont val="Calibri"/>
        <family val="2"/>
        <scheme val="minor"/>
      </rPr>
      <t xml:space="preserve"> 1.40 X</t>
    </r>
  </si>
  <si>
    <r>
      <t>&gt;</t>
    </r>
    <r>
      <rPr>
        <sz val="9"/>
        <color rgb="FF000000"/>
        <rFont val="Calibri"/>
        <family val="2"/>
        <scheme val="minor"/>
      </rPr>
      <t xml:space="preserve"> 1.20 X</t>
    </r>
  </si>
  <si>
    <r>
      <t>&gt;</t>
    </r>
    <r>
      <rPr>
        <sz val="9"/>
        <color rgb="FF000000"/>
        <rFont val="Calibri"/>
        <family val="2"/>
        <scheme val="minor"/>
      </rPr>
      <t>1.00 – 1.20 X</t>
    </r>
  </si>
  <si>
    <r>
      <t>&gt;</t>
    </r>
    <r>
      <rPr>
        <sz val="9"/>
        <color rgb="FF000000"/>
        <rFont val="Calibri"/>
        <family val="2"/>
        <scheme val="minor"/>
      </rPr>
      <t>1.00 X</t>
    </r>
  </si>
  <si>
    <r>
      <t>&lt;</t>
    </r>
    <r>
      <rPr>
        <sz val="9"/>
        <color rgb="FF000000"/>
        <rFont val="Calibri"/>
        <family val="2"/>
        <scheme val="minor"/>
      </rPr>
      <t xml:space="preserve"> 1.50 X – 1.00 X</t>
    </r>
  </si>
  <si>
    <r>
      <t>&lt;</t>
    </r>
    <r>
      <rPr>
        <sz val="9"/>
        <color rgb="FF000000"/>
        <rFont val="Calibri"/>
        <family val="2"/>
        <scheme val="minor"/>
      </rPr>
      <t xml:space="preserve"> 1.00 X</t>
    </r>
  </si>
  <si>
    <t>Core Segment</t>
  </si>
  <si>
    <t>Retail Segment</t>
  </si>
  <si>
    <t>Upto 2% of Debits</t>
  </si>
  <si>
    <t>Upto 3% of Debits</t>
  </si>
  <si>
    <t>Beyond 3% of Debits</t>
  </si>
  <si>
    <t>II) CMR Score (For Others - Including Proprietorship firm)</t>
  </si>
  <si>
    <t>EBITDA Margin (%)</t>
  </si>
  <si>
    <t>Avg. ABB of last 6 M</t>
  </si>
  <si>
    <t>ABB/EMI</t>
  </si>
  <si>
    <t>Total Debt</t>
  </si>
  <si>
    <t>CUSTOMER ACCEPTANCE PROCEDURES FORM</t>
  </si>
  <si>
    <t>(To be filled by the Risk team while performing Screening check)</t>
  </si>
  <si>
    <t xml:space="preserve">Deal Name:  </t>
  </si>
  <si>
    <t>Deal ID:</t>
  </si>
  <si>
    <t xml:space="preserve">Customer AML Risk (H/M/L) : </t>
  </si>
  <si>
    <t>Lower of IV and V</t>
  </si>
  <si>
    <t>(Please use the AML Risk Calculator &amp; attach the same for records as annexure)</t>
  </si>
  <si>
    <t>(1) Evidence of legal establishment (e.g. articles of incorporation, partnership agreement, trust documents, preferably filed with relevant government authority)</t>
  </si>
  <si>
    <t>(2) Company Registry Check:</t>
  </si>
  <si>
    <t>UID No./Other KYC</t>
  </si>
  <si>
    <t>(4) Reliable commercial database in local jurisdiction that 
verify identity</t>
  </si>
  <si>
    <t>(5) Information on Board of Directors &amp; Major Shareholders (&gt;25%)   if director or major shareholder is individual, follow steps for PIVP: Individuals (Low Risk)</t>
  </si>
  <si>
    <t>(6) Bank and financial institution A/c information</t>
  </si>
  <si>
    <t>(7) Source of funds for transactions</t>
  </si>
  <si>
    <t>Signature:</t>
  </si>
  <si>
    <t>Risk Team Member Name:</t>
  </si>
  <si>
    <t>Date:</t>
  </si>
  <si>
    <t>Due Diligence Risk Category:</t>
  </si>
  <si>
    <t>Please note: KYC due diligence will be defined by the either of Product or Customer risk whichever is worse. In case of Medium, Risk, please answer question 1-8, In case of High Risk, product, please answer all 9 question.</t>
  </si>
  <si>
    <t>Constitution / Shareholding details</t>
  </si>
  <si>
    <t xml:space="preserve">Asset Risk : </t>
  </si>
  <si>
    <t>Customer Name:</t>
  </si>
  <si>
    <t xml:space="preserve">Product Offered: </t>
  </si>
  <si>
    <t>CUSTOMER IDENTIFICATION PROCEDURES FORM</t>
  </si>
  <si>
    <r>
      <rPr>
        <sz val="11"/>
        <color theme="1"/>
        <rFont val="Calibri"/>
        <family val="2"/>
      </rPr>
      <t xml:space="preserve">● </t>
    </r>
    <r>
      <rPr>
        <sz val="11"/>
        <color theme="1"/>
        <rFont val="Calibri"/>
        <family val="2"/>
        <scheme val="minor"/>
      </rPr>
      <t xml:space="preserve">Shops &amp; Establishment Certificate </t>
    </r>
  </si>
  <si>
    <t xml:space="preserve">● Trade License Certificate </t>
  </si>
  <si>
    <t xml:space="preserve">● SSI Registration Certificate </t>
  </si>
  <si>
    <t>● PAN Card</t>
  </si>
  <si>
    <t xml:space="preserve">● GST /Sales Tax/ VAT Registration Certificate </t>
  </si>
  <si>
    <t xml:space="preserve">● Partnership Deed (for firms) </t>
  </si>
  <si>
    <t>● Memorandum of Association (MOA) and Articles of Association (AOA)</t>
  </si>
  <si>
    <t>● Export-Import Code Certificate/Factory Registration Certificate</t>
  </si>
  <si>
    <t>● Professional qualification Certificate and Degree Certificate for Professionals</t>
  </si>
  <si>
    <t xml:space="preserve">● SEBI Registration Certificate </t>
  </si>
  <si>
    <t xml:space="preserve">● Registration No issued by ROC </t>
  </si>
  <si>
    <t>● Registrar of Societies Certificate along with Bye-laws</t>
  </si>
  <si>
    <t>● Trust Deed and Registration</t>
  </si>
  <si>
    <t>● Not Applicable</t>
  </si>
  <si>
    <t>Evidence of legal establishment</t>
  </si>
  <si>
    <t>● ROC Check has been done and is Positive</t>
  </si>
  <si>
    <t>● Save Risk Check has been done and is Positive</t>
  </si>
  <si>
    <t>● Posidex Check has been done and is Positive</t>
  </si>
  <si>
    <t>(3) Credit Database Report (e.g. CIBIL) or other reliable equivalent in local jurisdiction.</t>
  </si>
  <si>
    <t>● CIBIL Search conducted  ~ Details as below</t>
  </si>
  <si>
    <t xml:space="preserve">Name </t>
  </si>
  <si>
    <t>PAN No</t>
  </si>
  <si>
    <t>dd</t>
  </si>
  <si>
    <t>NACH / PDC Being taken from this Bank</t>
  </si>
  <si>
    <t>ISFC Code</t>
  </si>
  <si>
    <t>● Internal Accruals</t>
  </si>
  <si>
    <t>● From Business</t>
  </si>
  <si>
    <t>● From Other Sources</t>
  </si>
  <si>
    <t>(9) If required, private investigation by Clix-approved investigation firm</t>
  </si>
  <si>
    <t xml:space="preserve">(8) In-person meetings/site visit: </t>
  </si>
  <si>
    <t>Profile Discussion, Visit Details and Reference Checks</t>
  </si>
  <si>
    <t>Date of Visit:</t>
  </si>
  <si>
    <t>Place Visited:</t>
  </si>
  <si>
    <t>Profession</t>
  </si>
  <si>
    <t>Relation of Reference with Borrower</t>
  </si>
  <si>
    <t>Comments on visit:</t>
  </si>
  <si>
    <t xml:space="preserve">(1) Please define Beneficiary Owner &amp; who controls decision-making for the Customer? </t>
  </si>
  <si>
    <t># watch list matches</t>
  </si>
  <si>
    <t># positive matches</t>
  </si>
  <si>
    <t>Parties reviewed - e.g. Company Name, Board of  director's names etc. as defined above</t>
  </si>
  <si>
    <t>Resolved/ Unresolved  - comments if the match is reviewed and resolved</t>
  </si>
  <si>
    <t>No Match</t>
  </si>
  <si>
    <t>(2.a) Conduct Watch-list Screening, using Business Screening tool for following “KYC Parties” &amp; comment on positive watch-list hits:</t>
  </si>
  <si>
    <t>(2.b) Please review Adverse Media Checks through Business Screening tool/Internet for the KYC Parties &amp; provide risk assessment 
(List down # of negative media hits and key bullets on your review of articles; contact your Compliance Officer with alerts):</t>
  </si>
  <si>
    <t>(3.a) Checks against U.S. Office of Foreign Assets Control's economic sanction programs for the countries of operations of the customer &amp; Checks against U.S. Dept. of Commerce lists. (Provide details on countries of operations, products the customer is dealing in and any analysis done. Also, contact your Compliance Officer if you find relevant matches)</t>
  </si>
  <si>
    <t>(3.b) CWhere does the customer have its business operations? (Local markets/ foreign countries/ foreign designated countries)?</t>
  </si>
  <si>
    <t xml:space="preserve">(4)  Briefly explain anticipated transactions and activity of the customer </t>
  </si>
  <si>
    <t>(5)  Based on risks, understand Customer's/Intermediary's Business, its Sources of Income &amp; Method of Payment / Bank Account information</t>
  </si>
  <si>
    <t>Customer’s business/ Source of income</t>
  </si>
  <si>
    <t>Bank exists, registered &amp; governed by local AML law</t>
  </si>
  <si>
    <t>Method of Payment</t>
  </si>
  <si>
    <t>PDC</t>
  </si>
  <si>
    <t>Bank Account Information</t>
  </si>
  <si>
    <t>Q 6-9 (Applicable in case of High Risk)</t>
  </si>
  <si>
    <t>(6) Detailed checks for adverse legal and/or reputational information</t>
  </si>
  <si>
    <t>(8) Research history of customer's business, including evolution of history offerings, strategy, and nature.</t>
  </si>
  <si>
    <t>(9) Reviewing terms of deal offered to customer to see if proposed transaction makes good business sense.</t>
  </si>
  <si>
    <t>(10) Does the proposed relationship / structure of the financial service requested, appear to be in normal course of business / expansion of Customer entity?</t>
  </si>
  <si>
    <t>Detailed Check done on Legal and / or Reputation and found to be positive</t>
  </si>
  <si>
    <t>(7) Conduct Checks to prevent ID Fraud; (include Identification check - Customer Address Proof &amp; Signature Proof issued by Govt. Authorities, such as Passport, Driving License &amp; IT- PAN CARD</t>
  </si>
  <si>
    <t>Details mentioned in Point 4 and in CAM Note</t>
  </si>
  <si>
    <t>Yes - Makes Good Business Sense</t>
  </si>
  <si>
    <t>(11) Does the proposed relationship / structure of financial service requested give rise to  suspicion that it is not in the interest of the customer, suggesting presence of other beneficial owners/owner to be identified?</t>
  </si>
  <si>
    <t>No such suspicion arises.</t>
  </si>
  <si>
    <t>Hospital Type</t>
  </si>
  <si>
    <t>Diag Centre with MRI/CT/Hospital &gt;=50 beds</t>
  </si>
  <si>
    <t>Diag Centre without MRI/CT/Hospital/ Nursing Home &lt;50 beds</t>
  </si>
  <si>
    <t>All Others / Start up / Clinic</t>
  </si>
  <si>
    <t>Customer Segment</t>
  </si>
  <si>
    <t>Deviation Type</t>
  </si>
  <si>
    <t>Norm</t>
  </si>
  <si>
    <t>Deviation Level</t>
  </si>
  <si>
    <t>RCM</t>
  </si>
  <si>
    <t>NCM</t>
  </si>
  <si>
    <t>CRO</t>
  </si>
  <si>
    <t>Financial Norms and Banking Criteria</t>
  </si>
  <si>
    <t>Inward Cheque Returns</t>
  </si>
  <si>
    <t>More than 2% and upto 3%</t>
  </si>
  <si>
    <t>More than 3%</t>
  </si>
  <si>
    <t>Promoter Experience</t>
  </si>
  <si>
    <t>Upto 6 Months</t>
  </si>
  <si>
    <t>Upto 12 Months</t>
  </si>
  <si>
    <t>Age of Borrower</t>
  </si>
  <si>
    <t>Age of borrower/ Key Promoter &gt;65 years on maturity of loan - upto 70 years</t>
  </si>
  <si>
    <t>RRM</t>
  </si>
  <si>
    <t>Age of borrower/ Key Promoter &gt;65 years on maturity of loan - beyond 70 years</t>
  </si>
  <si>
    <t>NCM + BH</t>
  </si>
  <si>
    <t>NCM Co-Approval with Asset Management</t>
  </si>
  <si>
    <t>Bureau Norms</t>
  </si>
  <si>
    <t>Bureau Norms Not Met</t>
  </si>
  <si>
    <t>Other Deviation</t>
  </si>
  <si>
    <t>Equipment_Manufacturer not listed</t>
  </si>
  <si>
    <t>COST OF Sales</t>
  </si>
  <si>
    <t xml:space="preserve">Changes in Inventories </t>
  </si>
  <si>
    <t>Manufacturing Expenses</t>
  </si>
  <si>
    <t xml:space="preserve">Bank &amp; Finance Charges </t>
  </si>
  <si>
    <t>Other Expenses</t>
  </si>
  <si>
    <t>EBITDA</t>
  </si>
  <si>
    <t>Total Interest expenses</t>
  </si>
  <si>
    <t>EBITDA (Incl Int on OD/CC)</t>
  </si>
  <si>
    <t>EBITDA (Excl Int on OD/CC)</t>
  </si>
  <si>
    <t>Extraordinary items</t>
  </si>
  <si>
    <t>PAT (After Extraordinary Items)</t>
  </si>
  <si>
    <t>Capital</t>
  </si>
  <si>
    <t>Reserves and Surplus (excluding revaluation reserve)</t>
  </si>
  <si>
    <t>Revaluation Reserve</t>
  </si>
  <si>
    <t>Other Long Term Liabilities</t>
  </si>
  <si>
    <t>ASSETS</t>
  </si>
  <si>
    <t>Intangible Assets</t>
  </si>
  <si>
    <t>Net Fixed Assets (excluding revaluation reserve)</t>
  </si>
  <si>
    <t>Loans and Advances (Business Related : Security Deposits &amp; other Long Term Advances)</t>
  </si>
  <si>
    <t>Loans and Advances (Business Related Short Term)</t>
  </si>
  <si>
    <t>Other Non Current Assets</t>
  </si>
  <si>
    <t>Doubtful Loans and Advances</t>
  </si>
  <si>
    <t>EBITDA Ratio</t>
  </si>
  <si>
    <t>EBIDTA Ratio (net of interest to borrowers not coming on loan)</t>
  </si>
  <si>
    <t>Net Working Capital</t>
  </si>
  <si>
    <t>Current Ratio(CA Including Debtors &gt;6 Months) (CL incl OD/CC)</t>
  </si>
  <si>
    <t>Total Debt/EBITDA</t>
  </si>
  <si>
    <t>DSCR</t>
  </si>
  <si>
    <t>Add back: Depletion expense</t>
  </si>
  <si>
    <t>Add back: Bad debts written off</t>
  </si>
  <si>
    <t>Decrease / (Increase) in Non current assets</t>
  </si>
  <si>
    <t>Sale/ (Purchase) of Fixed Assets And Intangible Assets</t>
  </si>
  <si>
    <t>Decrease / (Increase) in investments / Loans &amp; Advances (Business related)</t>
  </si>
  <si>
    <t>Decrease / (Increase) in investments / Loans &amp; Advances (Non Business related)</t>
  </si>
  <si>
    <t>Increase / (Decrease) in Funds from partners/director (unsecured loans)</t>
  </si>
  <si>
    <t>Total Loans Availed 
(Rs.Lakhs)</t>
  </si>
  <si>
    <t>Total Loans Closed 
(Rs. Lakhs )</t>
  </si>
  <si>
    <t>Amt.of ETR/GTR Loans (Rs. Lakhs)</t>
  </si>
  <si>
    <t>Amt. of PTR Loans 
(Rs. Lakhs)</t>
  </si>
  <si>
    <t>Client Categorization-AML Risk</t>
  </si>
  <si>
    <t>Type of Equipment</t>
  </si>
  <si>
    <t>Contact Number (1)</t>
  </si>
  <si>
    <t>Security Deposit</t>
  </si>
  <si>
    <t>Email Address(1)</t>
  </si>
  <si>
    <t>Email Address(2)</t>
  </si>
  <si>
    <t>No. of ETR /GTR Loans (#)</t>
  </si>
  <si>
    <t>No. of PTR Loans (#)</t>
  </si>
  <si>
    <t>Gross Profit (Excluding Non Business Expenses)</t>
  </si>
  <si>
    <t>Current EMI / Interest / Installment  (Rs. Not in L)</t>
  </si>
  <si>
    <t>Business Vintage</t>
  </si>
  <si>
    <t>Promoters Experience</t>
  </si>
  <si>
    <t>Age of Key Promoter at the Loan Maturity</t>
  </si>
  <si>
    <t>30+ DPD in the last 12 months</t>
  </si>
  <si>
    <t xml:space="preserve">30+ in last 12 months </t>
  </si>
  <si>
    <t>STD</t>
  </si>
  <si>
    <t>Commercial CIBIL Asset Classification (Last 24 Months)</t>
  </si>
  <si>
    <t>CIBIL History in Last 48 Months</t>
  </si>
  <si>
    <t>CIBIL Score (For Individual - Key Promoter)</t>
  </si>
  <si>
    <t>Standard</t>
  </si>
  <si>
    <t>Growth in Revenue</t>
  </si>
  <si>
    <t>Growth in EBITDA</t>
  </si>
  <si>
    <t>Positive Net-worth for last 2 years</t>
  </si>
  <si>
    <t>Cash Loss in the last two Years</t>
  </si>
  <si>
    <t>Average (For 12 Months)</t>
  </si>
  <si>
    <t>Key Policy Parameters</t>
  </si>
  <si>
    <t>Bouncing % 12M ===&gt;</t>
  </si>
  <si>
    <t>I/w Bouncing % 6M ===&gt;</t>
  </si>
  <si>
    <t>Inward Bounce (6M)</t>
  </si>
  <si>
    <t>Inward Bouncing In the last 6 months</t>
  </si>
  <si>
    <t>O/w Bouncing % 6M ===&gt;</t>
  </si>
  <si>
    <t>Outward Bounce (6M)</t>
  </si>
  <si>
    <t>Customer has availed Morat 2.0 (Any Lender)</t>
  </si>
  <si>
    <t>ABB / EMI (6M)</t>
  </si>
  <si>
    <t>EMI Bouncing in the Last 6 Months</t>
  </si>
  <si>
    <t>Morat</t>
  </si>
  <si>
    <t>Healthcare Equipment Loan</t>
  </si>
  <si>
    <t>Reference Check 2: Name</t>
  </si>
  <si>
    <t>Met With:</t>
  </si>
  <si>
    <t>Reference Check 1: Name</t>
  </si>
  <si>
    <t>Reference Check 1: Contact Number</t>
  </si>
  <si>
    <t>Reference Check 2: Contact Number</t>
  </si>
  <si>
    <t xml:space="preserve">Refurbished A equipment </t>
  </si>
  <si>
    <t>Catchment Area</t>
  </si>
  <si>
    <t>Competition Details</t>
  </si>
  <si>
    <t>LTV Deviation</t>
  </si>
  <si>
    <t>Deviation Upto 5%</t>
  </si>
  <si>
    <t>Deviation Beyond 5%</t>
  </si>
  <si>
    <t>For Loan Amount &lt;=100 Lakhs ; Principal Moratorium upto 6M</t>
  </si>
  <si>
    <t>For Loan Amount &gt;100 Lakhs ; Principal Moratorium upto 6M</t>
  </si>
  <si>
    <t>For Loan Amount &gt;100 Lakhs ; Principal Moratorium beyond 6M</t>
  </si>
  <si>
    <t>Moratorium on Both Principal and Interest</t>
  </si>
  <si>
    <t>For Loan Amount &lt;=100 Lakhs ; Principal Moratorium beyond 6M</t>
  </si>
  <si>
    <t>Customer Category</t>
  </si>
  <si>
    <t>BTO (Latest Audited Financials)</t>
  </si>
  <si>
    <t>Financial Year</t>
  </si>
  <si>
    <t>MOB As ON</t>
  </si>
  <si>
    <t>EMI Paid During the year</t>
  </si>
  <si>
    <t>Total EMI Paid During the Year</t>
  </si>
  <si>
    <t>Pre-Funded TOL/TNW</t>
  </si>
  <si>
    <t>Year 1</t>
  </si>
  <si>
    <t>Year 2</t>
  </si>
  <si>
    <t>Year 3</t>
  </si>
  <si>
    <t>Year 6</t>
  </si>
  <si>
    <t>Year 7</t>
  </si>
  <si>
    <t>Revenue</t>
  </si>
  <si>
    <t xml:space="preserve">Revenue per year </t>
  </si>
  <si>
    <t>Expenses</t>
  </si>
  <si>
    <t>Insurance</t>
  </si>
  <si>
    <t>Electricity</t>
  </si>
  <si>
    <t>Gen. &amp; Admin Exp.</t>
  </si>
  <si>
    <t>Consumables</t>
  </si>
  <si>
    <t>Free Cash Flow (FCF)</t>
  </si>
  <si>
    <t>Annual EMI</t>
  </si>
  <si>
    <t xml:space="preserve">FCF/EMI </t>
  </si>
  <si>
    <t>Total Debt (Pre-Funding)</t>
  </si>
  <si>
    <t>Total Debt (Post-Funding)</t>
  </si>
  <si>
    <t>Total Debt / EBITDA (Pre-Funding)</t>
  </si>
  <si>
    <t>Total Debt / EBITDA (Post-Funding)</t>
  </si>
  <si>
    <t>CUSTOMER CATEGORY</t>
  </si>
  <si>
    <t>Sales</t>
  </si>
  <si>
    <t>Credit</t>
  </si>
  <si>
    <t>Sales / Credit</t>
  </si>
  <si>
    <r>
      <t xml:space="preserve">List of Equipments for Purchase </t>
    </r>
    <r>
      <rPr>
        <b/>
        <i/>
        <sz val="9"/>
        <color theme="0"/>
        <rFont val="Calibri"/>
        <family val="2"/>
        <scheme val="minor"/>
      </rPr>
      <t>(To be Filled by Sales)</t>
    </r>
  </si>
  <si>
    <r>
      <t xml:space="preserve">Forward Looking DSCR - Viability of the Equipment </t>
    </r>
    <r>
      <rPr>
        <b/>
        <i/>
        <sz val="9"/>
        <color theme="0"/>
        <rFont val="Calibri"/>
        <family val="2"/>
        <scheme val="minor"/>
      </rPr>
      <t>(To be Filled by Sales)</t>
    </r>
  </si>
  <si>
    <t>Hospital</t>
  </si>
  <si>
    <t>Sri Devi Ventures (Unit: DRM Multispeciality Hospital)</t>
  </si>
  <si>
    <t>Applicant</t>
  </si>
  <si>
    <t>Positive</t>
  </si>
  <si>
    <t>Average Occupancy per year</t>
  </si>
  <si>
    <t>Ventilators Revenue</t>
  </si>
  <si>
    <t>No of Operations Per month</t>
  </si>
  <si>
    <t>No of Operations Per Year</t>
  </si>
  <si>
    <t>Average OT charges</t>
  </si>
  <si>
    <t>Due Diligence Checks Conducted are Positive</t>
  </si>
  <si>
    <t>Yes - Appears in Normal Course</t>
  </si>
  <si>
    <t>Total Revenue Per Year</t>
  </si>
  <si>
    <t>Final Revenue per year for Eligibility</t>
  </si>
  <si>
    <t>Total Expenses Per Year</t>
  </si>
  <si>
    <t>Final Expenses per year for Eligibility</t>
  </si>
  <si>
    <t xml:space="preserve">Forward Looking DSCR </t>
  </si>
  <si>
    <t>Year</t>
  </si>
  <si>
    <t>Projection</t>
  </si>
  <si>
    <t>Is FY20 Financials Audited &amp; Filed</t>
  </si>
  <si>
    <t>Turnover Growth to be Considered for Proj.</t>
  </si>
  <si>
    <t>EBITDA to be considered for Projections</t>
  </si>
  <si>
    <t>Revenue per day</t>
  </si>
  <si>
    <t>Referals</t>
  </si>
  <si>
    <t>No of days of operations per yr</t>
  </si>
  <si>
    <t xml:space="preserve">Staff Salaries </t>
  </si>
  <si>
    <t>Expenses per Month</t>
  </si>
  <si>
    <t>Physical PD Not done &lt;=200 Lakhs</t>
  </si>
  <si>
    <t>Dialysis</t>
  </si>
  <si>
    <t>Anesthesia Machine, C Arm &amp; monitor</t>
  </si>
  <si>
    <t>No of ICU Cases per month</t>
  </si>
  <si>
    <t>Dialysis Income per case</t>
  </si>
  <si>
    <t>Average ICU Charges</t>
  </si>
  <si>
    <t>Ventilators &amp; Monitors</t>
  </si>
  <si>
    <t>Rent</t>
  </si>
  <si>
    <t xml:space="preserve">ABB </t>
  </si>
  <si>
    <t>ABB</t>
  </si>
  <si>
    <t>BTO (Latest  completed FY)</t>
  </si>
  <si>
    <t>700  - 721</t>
  </si>
  <si>
    <t>Exception Deviation &lt;=500 Lakhs</t>
  </si>
  <si>
    <t>Exception Deviation &gt; 500 Lakhs</t>
  </si>
  <si>
    <t xml:space="preserve">For Loan Amount &lt;=100 Lakhs, :- Pre funded Upto 1x </t>
  </si>
  <si>
    <t xml:space="preserve">For Loan Amount &gt;100 Lakhs, :- Pre funded Upto 1x </t>
  </si>
  <si>
    <t xml:space="preserve">For Loan Amount &lt;=100 Lakhs, :- Post funded &lt; 1x </t>
  </si>
  <si>
    <t xml:space="preserve">For Loan Amount &gt;100 Lakhs, :- Post funded &lt; 1x </t>
  </si>
  <si>
    <t xml:space="preserve">For Loan Amount &lt;=100 Lakh; TOL/TNW,  ABB:EMI &amp; BTO - Upto 50% less than norms </t>
  </si>
  <si>
    <t xml:space="preserve">For Loan Amount &lt;=100 Lakh; TOL/TNW,  ABB:EMI &amp; BTO - More than 50% less than norms </t>
  </si>
  <si>
    <t xml:space="preserve">For Loan Amount &gt;100 Lakh; TOL/TNW,  ABB:EMI &amp; BTO - Upto 50% less than norms </t>
  </si>
  <si>
    <t>Retail Credit Head</t>
  </si>
  <si>
    <t>CAM Version: HFS-Secured-20082021</t>
  </si>
  <si>
    <t>Location Category</t>
  </si>
  <si>
    <t>Doctor / Non-Doctor</t>
  </si>
  <si>
    <t>Equipment Type</t>
  </si>
  <si>
    <t>Equipment Category</t>
  </si>
  <si>
    <t>No of Equipments</t>
  </si>
  <si>
    <t>Net LTV</t>
  </si>
  <si>
    <t>Equipment Price (Rs.)</t>
  </si>
  <si>
    <t>PSL Size</t>
  </si>
  <si>
    <t>PSL Category</t>
  </si>
  <si>
    <t>Product</t>
  </si>
  <si>
    <t>Program Type</t>
  </si>
  <si>
    <t xml:space="preserve">GAM Orderly Liquidated Value </t>
  </si>
  <si>
    <t xml:space="preserve">GAM Net Realisable </t>
  </si>
  <si>
    <t>Gross Total Income</t>
  </si>
  <si>
    <t>Networth</t>
  </si>
  <si>
    <t>Provisional</t>
  </si>
  <si>
    <t>VITUSCARE MEDLIFE PRIVATE LIMITED</t>
  </si>
  <si>
    <t>Delhi/NCR</t>
  </si>
  <si>
    <t>Direct</t>
  </si>
  <si>
    <t>HFS</t>
  </si>
  <si>
    <t>Amit Jain</t>
  </si>
  <si>
    <t>New</t>
  </si>
  <si>
    <t>Owned</t>
  </si>
  <si>
    <t>Services</t>
  </si>
  <si>
    <t>Marked as Sanction Condition</t>
  </si>
  <si>
    <t>Low</t>
  </si>
  <si>
    <t>No Match Found</t>
  </si>
  <si>
    <t>Marked as sanction Condition</t>
  </si>
  <si>
    <t>No Adversity Reported</t>
  </si>
  <si>
    <t>Dialysis cases per day</t>
  </si>
  <si>
    <t>Charge per case- Dialysis</t>
  </si>
  <si>
    <t>Charge per case- CT Scan</t>
  </si>
  <si>
    <t>Doctor</t>
  </si>
  <si>
    <t>Audited and Not Filed</t>
  </si>
  <si>
    <t>Negative</t>
  </si>
  <si>
    <t>Total Banking Credits</t>
  </si>
  <si>
    <t>Total Turnover</t>
  </si>
  <si>
    <t>Till Date</t>
  </si>
  <si>
    <t>Sept to Nov</t>
  </si>
  <si>
    <t>April to June</t>
  </si>
  <si>
    <t>June to Aug</t>
  </si>
  <si>
    <t>BTO</t>
  </si>
  <si>
    <t>Guarantor</t>
  </si>
  <si>
    <t>New Customer</t>
  </si>
  <si>
    <t>Charge per case- Cardiac CT Scan</t>
  </si>
  <si>
    <t>Endoscopy cases per day</t>
  </si>
  <si>
    <t>Laproscopy CT cases per day</t>
  </si>
  <si>
    <t>Dr. Ziaur Rahman</t>
  </si>
  <si>
    <t>GE</t>
  </si>
  <si>
    <t>CT scan 32 Slice</t>
  </si>
  <si>
    <t>Wipro GE</t>
  </si>
  <si>
    <t>Start Up</t>
  </si>
  <si>
    <t>Rented</t>
  </si>
  <si>
    <t>AGVPR7975C</t>
  </si>
  <si>
    <t>3818 3598 8983</t>
  </si>
  <si>
    <t>CT scan cases per day</t>
  </si>
  <si>
    <t>MR.ZIAUR RAHMAN</t>
  </si>
  <si>
    <t>ICICI Bank, India</t>
  </si>
  <si>
    <t>017501538856</t>
  </si>
  <si>
    <t>Savings Account</t>
  </si>
  <si>
    <t>Total / Average</t>
  </si>
  <si>
    <t>Core</t>
  </si>
  <si>
    <t>MD</t>
  </si>
  <si>
    <t>Pending</t>
  </si>
  <si>
    <t>No CIBIL History found as applicant working on individual name.</t>
  </si>
  <si>
    <t>Credit card settelment reported in CIBIL other RTR are clean and satisfactory.</t>
  </si>
  <si>
    <t>Checked with V &amp; L Diagnostic promoter Dr. Pranab Narayan by Amit Jain (SM) and found positive response.</t>
  </si>
  <si>
    <t>Gurgaon</t>
  </si>
  <si>
    <t>Atrium Newgen Diagnostics</t>
  </si>
  <si>
    <t>Plot No. 1SP, Sector 28, Golf Course Road, Gurugram, Haryana</t>
  </si>
  <si>
    <t>Sandeep Shekhawat</t>
  </si>
  <si>
    <t>s.shekhawat@atriumhc.com</t>
  </si>
  <si>
    <t>BCQPS8901P</t>
  </si>
  <si>
    <t>8331 6813 3624</t>
  </si>
  <si>
    <t>Neeraj Bhandari</t>
  </si>
  <si>
    <t>AJDPB4968N</t>
  </si>
  <si>
    <t>B-603, Central Park I, Sector 42, Gurgaon</t>
  </si>
  <si>
    <t>4551 2914 3963</t>
  </si>
  <si>
    <t>A-91, Vidyat Nagar,Ajmer Road, Jaipur, Rajasthan,302021</t>
  </si>
  <si>
    <t>Dr. Nidhi Goyal</t>
  </si>
  <si>
    <t>AKTPG0502G</t>
  </si>
  <si>
    <t>8494 4218 6075</t>
  </si>
  <si>
    <t>1304/Tower C, Omaxe Forest and spa, Sector 93B,Gautam Budh Nagar, Noida, UP -201305</t>
  </si>
  <si>
    <t>Dr. Saurabh Singh Gehlot</t>
  </si>
  <si>
    <t>ALGPG6910L</t>
  </si>
  <si>
    <t>2121 0550 9942</t>
  </si>
  <si>
    <t>1496, sector 15, Part 2, Gurgaon</t>
  </si>
  <si>
    <t>Atul Kumar Agarwal</t>
  </si>
  <si>
    <t>AIIPA0426C</t>
  </si>
  <si>
    <t>6454 8804 8585</t>
  </si>
  <si>
    <t>155,shanti nagar, kings road, near shyam nagar police station, jaipur 302019</t>
  </si>
  <si>
    <t xml:space="preserve">Atrium Newgen Diagnostic was incorporated  in 2021 by Dr. Saurabh Singh Gehlot, Dr. Nidhi Goyal, Dr. Piyush Pandit, Mr. Sandeep Shekhawat, Mr. Atul Aggarwal, Mr. Neeraj Bhandari and will be started its commercial operations in April 2022. The entity operate as a diagnostic centre focusing on All type of CT and MRI diagnose. 
Facilities Brief :
Colorectal Cancer
Colorectal Cancer Colorectal cancer (CRC) is the third most common cancer worldwide and is characterized by substantial spatial phenotypic and genotypic variations . The development of colon cancer involves multiple steps with a continuous cumulative effect of genetic mutation in tumour suppressors and oncogenes. CT and MRI, as well as 18F-FDG-PET imaging, are widely used for the diagnosis, monitoring of therapeutic response, and prognosis of CRC . Recently, there has been an increasing number of investigations on whether or not conventional imaging techniques can predict critical gene mutations in CRC without the need for an invasive procedure.
Gastric Cancer
Gastric Cancer Gastric cancer is one of the most common and aggressive solid tumors worldwide and has its highest incidence and mortality rate in Eastern Asia . Approximately 20%–40% of patients who receive standard treatment develop recurrent disease. Based on the gene expression profile of gastric cancer, there are four molecular subtypes: EpsteinBarr virus-positive, microsatellite unstable, chromosomal instability (CIN), and genomically stable . Previous studies have shown that the CIN subtype of gastric cancer has a distinct prognosis. For example, Sohn et al. found that patients with the CIN subtype obtained the greatest benefit from adjuvant chemotherapy . CT is regarded as the routine preoperative evaluation modality. Furthermore, Lai et al. investigated the relationship between CT imaging features and CIN status and found that an acute tumor transition angle was the most accurate imaging feature of the CIN subtype of gastric cancer, which provides additional prognosis-related information.
Lung Cancer
Lung Cancer Lung cancer is another common cancer with a high mortality rate and accounts for 13% of all newly diagnosed cancers . Histologically, lung cancer can be divided into non-small cell lung cancer (NSCLC) and small cell lung cancer (SCLC). Nearly 85% of patients with lung cancer have NSCLC . NSCLC is a group of distinct diseases with genetic and cellular heterogeneity due to different mutations in oncogenic signaling pathways. Conventional imaging methods include radiography and CT, which can provide valuable information for diagnosis, clinical staging, and treatment decisions. Invasive biopsy plays a central role in the pathological diagnosis; however, only a small portion of tissue is generally obtained and cannot completely reflect the properties of the whole tumor. Therefore, radiogenomics mapping is being increasingly used to solve the growing demand for prognostic image-based biomarkers.
Ovarian Cancer
Ovarian Cancer Ovarian cancer is the deadliest malignancy of the female genital tract and has five major histopathological subtypes. Ninety percent of ovarian cancers are high-grade serous ovarian cancer (HGSOC), which has the least favorable prognosis. Previous studies have demonstrated the genomic complexity and heterogeneity of ovarian cancer. Genetic heterogeneity, including copy number variant, transcriptome analysis, and methylation array, has been discovered in HGSOC, which may explain its drug resistance and open up new avenues for targeted molecular-based treatment. CT is an indispensable imaging examination for patients with HGSOC and can allow staging evaluation for preoperative planning and determination of surgical resectability. Several studies have shown that the CT features can predict critical molecular alteration events in HGSOC, which may have substantial prognostic and therapeutic implications at the time of diagnosis .
Prostate Cancer
Prostate Cancer Prostate cancer is the most prevalent malignancy in men in the United States. An epidemiological investigation in 2015 showed that 1.6 million men were diagnosed with prostate cancer and that there had been a 66% increase in its incidence over the previous decade. Currently, the National Comprehensive Cancer Network risk stratification system, which is mainly based on pathological grading from a biopsy sample, prostate serum antigen levels, and T staging, is widely used . Even though its prognostic precision has been reproduced in various settings, numerous studies have shown that the impact of adverse pathology is unavoidably underestimated in about 38%–46% of patients, partly because of the spatial heterogeneity in tumor growth patterns. Imaging examination can overcome the sampling bias resulting from prostate biopsy; therefore, the properties of the entire tumor can be assessed using a noninvasive platform. Multiparametric MRI is the most accurate imaging modality for detection and localization of prostate cancer lesions and provides both functional tissue information and anatomical information. Stoyanova et al. first identified a significant association between quantitative multiparametric MRI features and gene expression in multiparametric MRI-guided biopsy samples. The identified gene clusters related to radiomic features were used for gene ontology analysis and were correlated with distinct biological processes, including immune response, metabolism, cell, and biological adhesion.
Head and Neck Squamous Cell Cancer
Head and Neck Squamous Cell Cancer Head and neck squamous cell carcinoma (HNSCC) is the sixth most common cancer worldwide (. The Cancer Genome Atlas (TCGA) has revealed that human papillomavirus-associated tumors are accompanied by PIK3CA mutations, loss of TRAF3, and amplification of E2F1, whereas smoking-related HNSCCs exhibit a higher frequency of TP53 mutations and CDKN2A copy number alterations. Furthermore, mutations of the chromatin modifier NSD1 and the Wnt pathway genes AJUBA and FAT1 were also detected in a subgroup of HNSCCs . Zwirner et al. followed a hypothesis-driven approach for finding associations between radiomic heterogeneity and genetic aberrations and found that FAT1 somatic mutations were associated with reduced radiomic measures of tumor heterogeneity, possibly clarifying the reason for the previously described better prognosis of patients with human papillomavirus-negative, FAT1-mutated HNSCC.
</t>
  </si>
  <si>
    <t>Dr. Nidhi Goyal(Radiologist) will handle the Centre</t>
  </si>
  <si>
    <t xml:space="preserve">Gurgaon has emerged as one  of the  fast-growing, important trading and commercial hubs in the state. Gurgaon catter all patient from Haryana, Rajsthan, Uttar Pradesh, Delhi and some other states. Gurgaon is big medical hub in Haryana. Centre catters complete Gurgaon and below mentioned major area in Gurgaon.
Golf Course Road
Cyber City
Phase 1 and Phase 2
Phase 5
Sushant Lok
Residences on Galleria market road
Golf Course Extension
Udyog Vihar
Jalvya Vihar
Sector 50/51
Arjangarh
 Hospital for Business    Neelkanth Hospital
Uma Sanjivani
Max Hospital
Narayana Hospital
Medanta
Arvend Hospital
Paras Hospital
Kalyani Hospital
Aryan Hospital
Sethi Hospital
Sheetal Apollo Hospital
                      </t>
  </si>
  <si>
    <t>Expected patient 10 per day with cost of Rs. 4000/- each</t>
  </si>
  <si>
    <t>• Sandeep Shekhawat : Mr. Sandeep completed his Engineering in 2002 and MBA in 2005and is experienced in sales process improvement and P&amp;L Management and Worked with healthcare giants like in portfolio management in firms like GE, Philips and Johnson and Johnsons post that he decided to start his own starup where his first project was joining Plexus Interventions Pvt. Ltd. In 2017 as director and shareholder with 15% stake and after resigning from that project in 2018 he started a company named Plexus hospitals where cardiology services were provided, currently he is working with two ventures: Atrium newgen diagnostics and Atrium Diagnostic centre where mainly cardiology and radiology services are being provided.
• Dr. Nidhi Goyal(Radiologist): Dr. Nidhi Goyal is a Senior Consultant Radiologist in Apollo Hospitals with healthy 15 years of experience in Radiology, Worked with Max Hospital Saket and Dr. Gulati’s Imaging in past.  Expert in Cardiac, MSK &amp; Ortho Imaging, Currently working in Apollo healthcare. She is co-founder of Atrium Genomics who will be looking after Genomics through tele reporting.
• Dr. Saurabh Singh Gehlot(Cardiologist): Dr. Saurabh completed his MBBS in 2010 and MD in 2017, he is an Interventional Cardiologist currently working in Medanta Medicity -Gurgaon. Previously worked with Max BLK Delhi and JLN Medical College, Ajmer. Expert is doing all Cardiology procedures and is a Co-Founder of Atrium Heart Centre.
• Neeraj Bhandari: Mr. ankNeeraj did his B.Tech from University of Rajasthan and thereafter pursued post graduate management degree from NIT Jaipur. He is CEO at Cosmo Infrasolutions (CI). CI is an integrated solution provider for Telecom Companies. 
• Dr. Atul Agarwal:  Dr. Atul is a management post-graduate from MNIT, Jaipur with an engineering background. He is a seasoned IT professional who brings 17 years of work experience and industry best practices to execute projects worth millions of dollars. He has been associated with industry leaders in High Tech, Consumer Electronics, Utilities, Life Sciences, Manufacturing and Telecom domains and has been managing large scale technology led transformation initiatives.</t>
  </si>
  <si>
    <t>● There are 2 Full time doctors available in the Centre.
Dr. Nidhi Goyal and Dr. Atul Agarwal is having 15+ year of experience as doctor. They have good network with other doctors and Clinics in the area.</t>
  </si>
  <si>
    <t>● There are 4 Hospitals in the near by area. Fortis Healthworld, Park Hospital, Paras Hospital and Sidhesh Hospital. Revenue sharing model is 85%-15%</t>
  </si>
  <si>
    <t>Good Experience of Doctor -15+ Years.</t>
  </si>
  <si>
    <t>It’s a start Up hospital. They have invested more than 1.8 Cr in the hospital. Infrastructure is good.</t>
  </si>
  <si>
    <t>Decent patient footfall</t>
  </si>
  <si>
    <t>Covid 4th Wave</t>
  </si>
  <si>
    <t>Covid 4th Wave will not impact the hospital as CT Scanner is available in the hospital if the cases 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</si>
</sst>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_(* #,##0.00_);_(* \(#,##0.00\);_(* &quot;-&quot;??_);_(@_)"/>
    <numFmt numFmtId="165" formatCode="[$-409]d\-mmm\-yy;@"/>
    <numFmt numFmtId="166" formatCode="0.00_);[Red]\(0.00\)"/>
    <numFmt numFmtId="167" formatCode="0.0"/>
    <numFmt numFmtId="168" formatCode="[$-409]mmm\-yy;@"/>
    <numFmt numFmtId="169" formatCode="0\ &quot;Kms&quot;"/>
    <numFmt numFmtId="170" formatCode="&quot;Rs.&quot;\ 0.00\ &quot;Lakhs&quot;"/>
    <numFmt numFmtId="171" formatCode="0\ &quot;Months&quot;"/>
    <numFmt numFmtId="172" formatCode="&quot;Rs.&quot;\ 0"/>
    <numFmt numFmtId="173" formatCode="&quot;CMR-&quot;\ 0"/>
    <numFmt numFmtId="174" formatCode="_(* #,##0_);_(* \(#,##0\);_(* &quot;-&quot;??_);_(@_)"/>
    <numFmt numFmtId="175" formatCode="[$-409]dd\-mmm\-yy;@"/>
    <numFmt numFmtId="176" formatCode="#,##0.00_ ;[Red]\-#,##0.00\ "/>
  </numFmts>
  <fonts count="6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6"/>
      <color theme="0"/>
      <name val="Calibri"/>
      <family val="2"/>
    </font>
    <font>
      <b/>
      <sz val="12"/>
      <color theme="0"/>
      <name val="Calibri"/>
      <family val="2"/>
    </font>
    <font>
      <b/>
      <sz val="16"/>
      <color theme="0"/>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indexed="8"/>
      <name val="Calibri"/>
      <family val="2"/>
    </font>
    <font>
      <b/>
      <sz val="12"/>
      <color theme="0"/>
      <name val="Calibri"/>
      <family val="2"/>
      <scheme val="minor"/>
    </font>
    <font>
      <b/>
      <sz val="12"/>
      <color theme="1"/>
      <name val="Calibri"/>
      <family val="2"/>
      <scheme val="minor"/>
    </font>
    <font>
      <sz val="12"/>
      <color indexed="8"/>
      <name val="Calibri"/>
      <family val="2"/>
    </font>
    <font>
      <b/>
      <i/>
      <sz val="12"/>
      <color theme="0"/>
      <name val="Calibri"/>
      <family val="2"/>
    </font>
    <font>
      <sz val="12"/>
      <color theme="0"/>
      <name val="Calibri"/>
      <family val="2"/>
      <scheme val="minor"/>
    </font>
    <font>
      <b/>
      <sz val="16"/>
      <color indexed="9"/>
      <name val="Calibri"/>
      <family val="2"/>
      <charset val="134"/>
    </font>
    <font>
      <b/>
      <i/>
      <sz val="16"/>
      <color indexed="9"/>
      <name val="Calibri"/>
      <family val="2"/>
      <charset val="134"/>
    </font>
    <font>
      <sz val="9"/>
      <color indexed="8"/>
      <name val="Calibri"/>
      <family val="2"/>
      <charset val="134"/>
    </font>
    <font>
      <b/>
      <sz val="9"/>
      <color indexed="8"/>
      <name val="Calibri"/>
      <family val="2"/>
      <charset val="134"/>
    </font>
    <font>
      <b/>
      <sz val="11"/>
      <color indexed="8"/>
      <name val="Calibri"/>
      <family val="2"/>
    </font>
    <font>
      <b/>
      <sz val="9"/>
      <color theme="0"/>
      <name val="Calibri"/>
      <family val="2"/>
    </font>
    <font>
      <b/>
      <sz val="11"/>
      <color indexed="10"/>
      <name val="Calibri"/>
      <family val="2"/>
      <charset val="134"/>
    </font>
    <font>
      <sz val="11"/>
      <color indexed="10"/>
      <name val="Calibri"/>
      <family val="2"/>
      <charset val="134"/>
    </font>
    <font>
      <sz val="10"/>
      <name val="Arial"/>
      <family val="2"/>
    </font>
    <font>
      <sz val="9"/>
      <color rgb="FF000000"/>
      <name val="Calibri"/>
      <family val="2"/>
      <charset val="1"/>
    </font>
    <font>
      <b/>
      <sz val="9"/>
      <name val="Calibri"/>
      <family val="2"/>
    </font>
    <font>
      <b/>
      <sz val="9"/>
      <color indexed="8"/>
      <name val="Calibri"/>
      <family val="2"/>
    </font>
    <font>
      <i/>
      <sz val="11"/>
      <color theme="1"/>
      <name val="Calibri"/>
      <family val="2"/>
      <scheme val="minor"/>
    </font>
    <font>
      <b/>
      <sz val="11"/>
      <color theme="1"/>
      <name val="Calibri"/>
      <family val="2"/>
      <charset val="1"/>
    </font>
    <font>
      <sz val="11"/>
      <color theme="1"/>
      <name val="Calibri"/>
      <family val="2"/>
      <charset val="1"/>
    </font>
    <font>
      <sz val="11"/>
      <color indexed="8"/>
      <name val="Calibri"/>
      <family val="2"/>
      <scheme val="minor"/>
    </font>
    <font>
      <b/>
      <sz val="11"/>
      <name val="Calibri"/>
      <family val="2"/>
      <scheme val="minor"/>
    </font>
    <font>
      <b/>
      <sz val="11"/>
      <name val="Calibri"/>
      <family val="2"/>
    </font>
    <font>
      <sz val="11"/>
      <name val="Calibri"/>
      <family val="2"/>
    </font>
    <font>
      <sz val="10"/>
      <color theme="1"/>
      <name val="Calibri"/>
      <family val="2"/>
      <scheme val="minor"/>
    </font>
    <font>
      <b/>
      <sz val="11"/>
      <color indexed="8"/>
      <name val="GE Inspira Pitch"/>
      <family val="2"/>
    </font>
    <font>
      <sz val="11"/>
      <color indexed="8"/>
      <name val="GE Inspira Pitch"/>
      <family val="2"/>
    </font>
    <font>
      <sz val="10"/>
      <color rgb="FF000000"/>
      <name val="Arial"/>
      <family val="2"/>
    </font>
    <font>
      <sz val="10"/>
      <color rgb="FF000000"/>
      <name val="Verdana"/>
      <family val="2"/>
    </font>
    <font>
      <sz val="10"/>
      <color theme="4"/>
      <name val="Verdana"/>
      <family val="2"/>
    </font>
    <font>
      <b/>
      <sz val="11"/>
      <color theme="0"/>
      <name val="Verdana"/>
      <family val="2"/>
    </font>
    <font>
      <b/>
      <u/>
      <sz val="12"/>
      <color indexed="8"/>
      <name val="Calibri"/>
      <family val="2"/>
    </font>
    <font>
      <sz val="9"/>
      <color theme="1"/>
      <name val="Calibri"/>
      <family val="2"/>
      <scheme val="minor"/>
    </font>
    <font>
      <b/>
      <sz val="9"/>
      <color rgb="FF000000"/>
      <name val="Calibri"/>
      <family val="2"/>
      <scheme val="minor"/>
    </font>
    <font>
      <sz val="9"/>
      <color rgb="FF000000"/>
      <name val="Calibri"/>
      <family val="2"/>
      <scheme val="minor"/>
    </font>
    <font>
      <b/>
      <sz val="9"/>
      <color indexed="8"/>
      <name val="Calibri"/>
      <family val="2"/>
      <scheme val="minor"/>
    </font>
    <font>
      <u/>
      <sz val="9"/>
      <color indexed="8"/>
      <name val="Calibri"/>
      <family val="2"/>
      <scheme val="minor"/>
    </font>
    <font>
      <sz val="9"/>
      <color indexed="8"/>
      <name val="Calibri"/>
      <family val="2"/>
      <scheme val="minor"/>
    </font>
    <font>
      <sz val="9"/>
      <name val="Calibri"/>
      <family val="2"/>
      <scheme val="minor"/>
    </font>
    <font>
      <u/>
      <sz val="9"/>
      <color rgb="FF000000"/>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1"/>
      <color theme="1"/>
      <name val="Calibri"/>
      <family val="2"/>
    </font>
    <font>
      <sz val="8"/>
      <color rgb="FF000000"/>
      <name val="Calibri"/>
      <family val="2"/>
      <charset val="1"/>
    </font>
    <font>
      <sz val="11"/>
      <color rgb="FF000000"/>
      <name val="Calibri"/>
      <family val="2"/>
      <charset val="1"/>
    </font>
    <font>
      <b/>
      <sz val="11"/>
      <color rgb="FF000000"/>
      <name val="Calibri"/>
      <family val="2"/>
      <scheme val="minor"/>
    </font>
    <font>
      <sz val="11"/>
      <color rgb="FF000000"/>
      <name val="Arial"/>
      <family val="2"/>
    </font>
    <font>
      <b/>
      <i/>
      <sz val="9"/>
      <color theme="0"/>
      <name val="Calibri"/>
      <family val="2"/>
      <scheme val="minor"/>
    </font>
    <font>
      <b/>
      <sz val="14"/>
      <color theme="0"/>
      <name val="Calibri"/>
      <family val="2"/>
    </font>
    <font>
      <sz val="14"/>
      <color theme="1"/>
      <name val="Calibri"/>
      <family val="2"/>
      <scheme val="minor"/>
    </font>
    <font>
      <sz val="10"/>
      <color indexed="8"/>
      <name val="Arial"/>
      <family val="2"/>
    </font>
    <font>
      <sz val="10"/>
      <color theme="1"/>
      <name val="Book Antiqua"/>
      <family val="1"/>
    </font>
    <font>
      <sz val="9"/>
      <color indexed="81"/>
      <name val="Tahoma"/>
      <family val="2"/>
    </font>
    <font>
      <b/>
      <sz val="9"/>
      <color indexed="81"/>
      <name val="Tahoma"/>
      <family val="2"/>
    </font>
    <font>
      <sz val="10"/>
      <color indexed="8"/>
      <name val="Arial"/>
      <family val="2"/>
    </font>
  </fonts>
  <fills count="39">
    <fill>
      <patternFill patternType="none"/>
    </fill>
    <fill>
      <patternFill patternType="gray125"/>
    </fill>
    <fill>
      <patternFill patternType="solid">
        <fgColor theme="9" tint="-0.499984740745262"/>
        <bgColor indexed="64"/>
      </patternFill>
    </fill>
    <fill>
      <patternFill patternType="solid">
        <fgColor rgb="FF002060"/>
        <bgColor indexed="64"/>
      </patternFill>
    </fill>
    <fill>
      <patternFill patternType="solid">
        <fgColor rgb="FFC2D1EC"/>
        <bgColor indexed="64"/>
      </patternFill>
    </fill>
    <fill>
      <patternFill patternType="solid">
        <fgColor rgb="FFFEF2E8"/>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44"/>
        <bgColor indexed="64"/>
      </patternFill>
    </fill>
    <fill>
      <patternFill patternType="solid">
        <fgColor indexed="9"/>
        <bgColor indexed="64"/>
      </patternFill>
    </fill>
    <fill>
      <patternFill patternType="solid">
        <fgColor theme="9" tint="0.59999389629810485"/>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FF"/>
        <bgColor rgb="FFF2F2F2"/>
      </patternFill>
    </fill>
    <fill>
      <patternFill patternType="solid">
        <fgColor theme="8" tint="0.59999389629810485"/>
        <bgColor rgb="FF993366"/>
      </patternFill>
    </fill>
    <fill>
      <patternFill patternType="solid">
        <fgColor theme="8" tint="0.59999389629810485"/>
        <bgColor rgb="FF33339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099FF"/>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E2EFDA"/>
        <bgColor indexed="64"/>
      </patternFill>
    </fill>
    <fill>
      <patternFill patternType="solid">
        <fgColor rgb="FF20376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rgb="FFFFC000"/>
        <bgColor indexed="64"/>
      </patternFill>
    </fill>
    <fill>
      <patternFill patternType="solid">
        <fgColor rgb="FFFFFFCC"/>
      </patternFill>
    </fill>
    <fill>
      <patternFill patternType="solid">
        <fgColor theme="7" tint="0.79998168889431442"/>
        <bgColor rgb="FFFFFFFF"/>
      </patternFill>
    </fill>
    <fill>
      <patternFill patternType="solid">
        <fgColor theme="7" tint="0.79998168889431442"/>
        <bgColor indexed="64"/>
      </patternFill>
    </fill>
    <fill>
      <patternFill patternType="solid">
        <fgColor indexed="3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4" fillId="0" borderId="0"/>
    <xf numFmtId="0" fontId="1" fillId="0" borderId="0"/>
    <xf numFmtId="9" fontId="4" fillId="0" borderId="0" applyFont="0" applyFill="0" applyBorder="0" applyAlignment="0" applyProtection="0">
      <alignment vertical="center"/>
    </xf>
    <xf numFmtId="9" fontId="4" fillId="0" borderId="0" applyFill="0" applyBorder="0" applyAlignment="0" applyProtection="0"/>
    <xf numFmtId="0" fontId="25" fillId="0" borderId="0"/>
    <xf numFmtId="0" fontId="1" fillId="0" borderId="0"/>
    <xf numFmtId="9" fontId="1" fillId="0" borderId="0" applyFont="0" applyFill="0" applyBorder="0" applyAlignment="0" applyProtection="0"/>
    <xf numFmtId="0" fontId="39" fillId="0" borderId="0"/>
    <xf numFmtId="9" fontId="57" fillId="0" borderId="0" applyBorder="0" applyProtection="0">
      <alignment vertical="center"/>
    </xf>
    <xf numFmtId="164" fontId="59" fillId="0" borderId="0" applyFont="0" applyFill="0" applyBorder="0" applyAlignment="0" applyProtection="0"/>
    <xf numFmtId="0" fontId="25" fillId="35" borderId="24" applyNumberFormat="0" applyFon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12">
    <xf numFmtId="0" fontId="0" fillId="0" borderId="0" xfId="0"/>
    <xf numFmtId="0" fontId="8" fillId="0" borderId="0" xfId="2" applyFont="1" applyProtection="1">
      <protection locked="0"/>
    </xf>
    <xf numFmtId="0" fontId="9" fillId="8" borderId="1" xfId="2" applyFont="1" applyFill="1" applyBorder="1" applyProtection="1"/>
    <xf numFmtId="0" fontId="10" fillId="0" borderId="0" xfId="2" applyFont="1" applyProtection="1">
      <protection locked="0"/>
    </xf>
    <xf numFmtId="0" fontId="6" fillId="10" borderId="6" xfId="2" applyFont="1" applyFill="1" applyBorder="1" applyAlignment="1" applyProtection="1"/>
    <xf numFmtId="165" fontId="6" fillId="10" borderId="1" xfId="2" applyNumberFormat="1" applyFont="1" applyFill="1" applyBorder="1" applyAlignment="1" applyProtection="1">
      <alignment horizontal="center"/>
    </xf>
    <xf numFmtId="165" fontId="11" fillId="9" borderId="2" xfId="2" applyNumberFormat="1" applyFont="1" applyFill="1" applyBorder="1" applyAlignment="1" applyProtection="1">
      <alignment horizontal="center"/>
      <protection locked="0"/>
    </xf>
    <xf numFmtId="165" fontId="12" fillId="10" borderId="1" xfId="2" applyNumberFormat="1" applyFont="1" applyFill="1" applyBorder="1" applyProtection="1"/>
    <xf numFmtId="10" fontId="8" fillId="11" borderId="1" xfId="2" applyNumberFormat="1" applyFont="1" applyFill="1" applyBorder="1" applyAlignment="1" applyProtection="1">
      <alignment horizontal="center"/>
    </xf>
    <xf numFmtId="0" fontId="8" fillId="0" borderId="0" xfId="2" applyFont="1" applyBorder="1" applyProtection="1">
      <protection locked="0"/>
    </xf>
    <xf numFmtId="0" fontId="19" fillId="0" borderId="0" xfId="1" applyFont="1" applyAlignment="1" applyProtection="1"/>
    <xf numFmtId="0" fontId="20" fillId="14" borderId="1" xfId="1" applyFont="1" applyFill="1" applyBorder="1" applyAlignment="1" applyProtection="1">
      <alignment vertical="top"/>
    </xf>
    <xf numFmtId="0" fontId="20" fillId="14" borderId="1" xfId="1" applyFont="1" applyFill="1" applyBorder="1" applyAlignment="1" applyProtection="1">
      <alignment horizontal="center" vertical="top"/>
    </xf>
    <xf numFmtId="0" fontId="20" fillId="14" borderId="1" xfId="1" applyFont="1" applyFill="1" applyBorder="1" applyAlignment="1" applyProtection="1">
      <alignment horizontal="center" vertical="top" wrapText="1"/>
    </xf>
    <xf numFmtId="0" fontId="20" fillId="14" borderId="1" xfId="1" applyFont="1" applyFill="1" applyBorder="1" applyAlignment="1" applyProtection="1">
      <alignment vertical="top" wrapText="1"/>
    </xf>
    <xf numFmtId="0" fontId="19" fillId="0" borderId="0" xfId="1" applyFont="1" applyAlignment="1" applyProtection="1">
      <alignment vertical="top"/>
    </xf>
    <xf numFmtId="0" fontId="19" fillId="0" borderId="0" xfId="1" applyFont="1" applyAlignment="1" applyProtection="1">
      <protection locked="0"/>
    </xf>
    <xf numFmtId="0" fontId="19" fillId="15" borderId="0" xfId="1" applyFont="1" applyFill="1" applyAlignment="1" applyProtection="1">
      <alignment horizontal="center"/>
    </xf>
    <xf numFmtId="0" fontId="19" fillId="15" borderId="0" xfId="1" applyFont="1" applyFill="1" applyAlignment="1" applyProtection="1"/>
    <xf numFmtId="0" fontId="23" fillId="17" borderId="0" xfId="1" applyFont="1" applyFill="1" applyAlignment="1" applyProtection="1"/>
    <xf numFmtId="0" fontId="24" fillId="17" borderId="0" xfId="1" applyFont="1" applyFill="1" applyAlignment="1" applyProtection="1">
      <alignment horizontal="center"/>
    </xf>
    <xf numFmtId="0" fontId="19" fillId="15" borderId="0" xfId="1" applyFont="1" applyFill="1" applyAlignment="1" applyProtection="1">
      <alignment horizontal="center"/>
      <protection locked="0"/>
    </xf>
    <xf numFmtId="0" fontId="19" fillId="15" borderId="0" xfId="1" applyFont="1" applyFill="1" applyAlignment="1" applyProtection="1">
      <protection locked="0"/>
    </xf>
    <xf numFmtId="0" fontId="19" fillId="9" borderId="1" xfId="1" applyFont="1" applyFill="1" applyBorder="1" applyAlignment="1" applyProtection="1">
      <alignment horizontal="center"/>
      <protection locked="0"/>
    </xf>
    <xf numFmtId="0" fontId="20" fillId="18" borderId="1" xfId="1" applyFont="1" applyFill="1" applyBorder="1" applyAlignment="1" applyProtection="1">
      <alignment horizontal="center"/>
    </xf>
    <xf numFmtId="2" fontId="19" fillId="0" borderId="1" xfId="1" applyNumberFormat="1" applyFont="1" applyBorder="1" applyAlignment="1" applyProtection="1">
      <alignment horizontal="center"/>
      <protection locked="0"/>
    </xf>
    <xf numFmtId="0" fontId="27" fillId="18" borderId="1" xfId="1" applyFont="1" applyFill="1" applyBorder="1" applyAlignment="1" applyProtection="1">
      <alignment horizontal="center" vertical="center" wrapText="1"/>
    </xf>
    <xf numFmtId="0" fontId="19" fillId="15" borderId="0" xfId="1" applyFont="1" applyFill="1" applyAlignment="1" applyProtection="1">
      <alignment horizontal="center" vertical="top" wrapText="1"/>
    </xf>
    <xf numFmtId="0" fontId="19" fillId="15" borderId="0" xfId="1" applyFont="1" applyFill="1" applyAlignment="1" applyProtection="1">
      <alignment vertical="top" wrapText="1"/>
    </xf>
    <xf numFmtId="0" fontId="19" fillId="0" borderId="0" xfId="1" applyFont="1" applyAlignment="1" applyProtection="1">
      <alignment vertical="top" wrapText="1"/>
    </xf>
    <xf numFmtId="2" fontId="26" fillId="19" borderId="1" xfId="5" applyNumberFormat="1" applyFont="1" applyFill="1" applyBorder="1" applyAlignment="1" applyProtection="1">
      <alignment horizontal="center"/>
      <protection locked="0"/>
    </xf>
    <xf numFmtId="167" fontId="19" fillId="0" borderId="1" xfId="1" applyNumberFormat="1" applyFont="1" applyBorder="1" applyAlignment="1" applyProtection="1">
      <alignment horizontal="center"/>
      <protection locked="0"/>
    </xf>
    <xf numFmtId="0" fontId="19" fillId="0" borderId="1" xfId="1" applyFont="1" applyBorder="1" applyAlignment="1" applyProtection="1">
      <alignment horizontal="center"/>
      <protection locked="0"/>
    </xf>
    <xf numFmtId="9" fontId="19" fillId="11" borderId="1" xfId="4" applyFont="1" applyFill="1" applyBorder="1" applyAlignment="1" applyProtection="1">
      <alignment horizontal="center"/>
    </xf>
    <xf numFmtId="0" fontId="26" fillId="0" borderId="1" xfId="5" applyFont="1" applyBorder="1" applyAlignment="1" applyProtection="1">
      <alignment horizontal="center"/>
      <protection locked="0"/>
    </xf>
    <xf numFmtId="2" fontId="19" fillId="11" borderId="1" xfId="1" applyNumberFormat="1" applyFont="1" applyFill="1" applyBorder="1" applyAlignment="1" applyProtection="1">
      <alignment horizontal="center"/>
    </xf>
    <xf numFmtId="168" fontId="19" fillId="11" borderId="1" xfId="1" applyNumberFormat="1" applyFont="1" applyFill="1" applyBorder="1" applyAlignment="1" applyProtection="1">
      <alignment horizontal="center"/>
    </xf>
    <xf numFmtId="167" fontId="19" fillId="15" borderId="1" xfId="1" applyNumberFormat="1" applyFont="1" applyFill="1" applyBorder="1" applyAlignment="1" applyProtection="1">
      <alignment horizontal="center"/>
      <protection locked="0"/>
    </xf>
    <xf numFmtId="2" fontId="19" fillId="15" borderId="1" xfId="1" applyNumberFormat="1" applyFont="1" applyFill="1" applyBorder="1" applyAlignment="1" applyProtection="1">
      <alignment horizontal="center"/>
      <protection locked="0"/>
    </xf>
    <xf numFmtId="168" fontId="28" fillId="11" borderId="1" xfId="1" applyNumberFormat="1" applyFont="1" applyFill="1" applyBorder="1" applyAlignment="1" applyProtection="1">
      <alignment horizontal="left"/>
    </xf>
    <xf numFmtId="167" fontId="28" fillId="18" borderId="1" xfId="1" applyNumberFormat="1" applyFont="1" applyFill="1" applyBorder="1" applyAlignment="1" applyProtection="1">
      <alignment horizontal="center"/>
    </xf>
    <xf numFmtId="1" fontId="28" fillId="18" borderId="1" xfId="1" applyNumberFormat="1" applyFont="1" applyFill="1" applyBorder="1" applyAlignment="1" applyProtection="1">
      <alignment horizontal="center"/>
    </xf>
    <xf numFmtId="0" fontId="28" fillId="11" borderId="1" xfId="1" applyFont="1" applyFill="1" applyBorder="1" applyAlignment="1" applyProtection="1">
      <alignment horizontal="left"/>
    </xf>
    <xf numFmtId="2" fontId="28" fillId="18" borderId="1" xfId="1" applyNumberFormat="1" applyFont="1" applyFill="1" applyBorder="1" applyAlignment="1" applyProtection="1">
      <alignment horizontal="center"/>
    </xf>
    <xf numFmtId="0" fontId="28" fillId="18" borderId="1" xfId="1" applyFont="1" applyFill="1" applyBorder="1" applyAlignment="1" applyProtection="1">
      <alignment horizontal="center"/>
    </xf>
    <xf numFmtId="10" fontId="28" fillId="18" borderId="1" xfId="1" applyNumberFormat="1" applyFont="1" applyFill="1" applyBorder="1" applyAlignment="1" applyProtection="1">
      <alignment horizontal="center"/>
    </xf>
    <xf numFmtId="0" fontId="19" fillId="0" borderId="0" xfId="1" applyFont="1" applyAlignment="1" applyProtection="1">
      <alignment horizontal="center"/>
      <protection locked="0"/>
    </xf>
    <xf numFmtId="0" fontId="1" fillId="0" borderId="0" xfId="6" applyProtection="1">
      <protection locked="0"/>
    </xf>
    <xf numFmtId="0" fontId="1" fillId="0" borderId="0" xfId="6" applyFill="1" applyProtection="1">
      <protection locked="0"/>
    </xf>
    <xf numFmtId="0" fontId="8" fillId="0" borderId="1" xfId="6" applyFont="1" applyBorder="1" applyProtection="1">
      <protection locked="0"/>
    </xf>
    <xf numFmtId="0" fontId="13" fillId="0" borderId="1" xfId="6" applyFont="1" applyFill="1" applyBorder="1" applyAlignment="1" applyProtection="1">
      <protection locked="0"/>
    </xf>
    <xf numFmtId="0" fontId="8" fillId="0" borderId="0" xfId="6" applyFont="1" applyBorder="1" applyProtection="1">
      <protection locked="0"/>
    </xf>
    <xf numFmtId="0" fontId="8" fillId="0" borderId="0" xfId="6" applyFont="1" applyProtection="1">
      <protection locked="0"/>
    </xf>
    <xf numFmtId="0" fontId="8" fillId="0" borderId="0" xfId="6" applyFont="1" applyAlignment="1" applyProtection="1">
      <alignment horizontal="center"/>
      <protection locked="0"/>
    </xf>
    <xf numFmtId="0" fontId="8" fillId="0" borderId="0" xfId="6" applyFont="1" applyFill="1" applyProtection="1">
      <protection locked="0"/>
    </xf>
    <xf numFmtId="0" fontId="29" fillId="0" borderId="5" xfId="6" applyFont="1" applyBorder="1" applyAlignment="1" applyProtection="1">
      <alignment horizontal="left"/>
    </xf>
    <xf numFmtId="0" fontId="1" fillId="0" borderId="5" xfId="6" applyBorder="1" applyAlignment="1" applyProtection="1">
      <alignment horizontal="left"/>
    </xf>
    <xf numFmtId="0" fontId="1" fillId="0" borderId="0" xfId="6" applyProtection="1"/>
    <xf numFmtId="0" fontId="1" fillId="0" borderId="0" xfId="6" applyAlignment="1" applyProtection="1">
      <alignment horizontal="center"/>
    </xf>
    <xf numFmtId="0" fontId="1" fillId="0" borderId="0" xfId="6" applyFill="1" applyProtection="1"/>
    <xf numFmtId="0" fontId="1" fillId="0" borderId="0" xfId="6" applyFill="1" applyAlignment="1" applyProtection="1">
      <alignment wrapText="1"/>
    </xf>
    <xf numFmtId="17" fontId="31" fillId="21" borderId="1" xfId="6" applyNumberFormat="1" applyFont="1" applyFill="1" applyBorder="1" applyAlignment="1" applyProtection="1">
      <alignment horizontal="center" wrapText="1"/>
    </xf>
    <xf numFmtId="0" fontId="1" fillId="0" borderId="1" xfId="6" applyBorder="1" applyAlignment="1" applyProtection="1">
      <alignment horizontal="center"/>
      <protection locked="0"/>
    </xf>
    <xf numFmtId="0" fontId="1" fillId="0" borderId="1" xfId="6" applyBorder="1" applyProtection="1">
      <protection locked="0"/>
    </xf>
    <xf numFmtId="2" fontId="1" fillId="11" borderId="1" xfId="6" applyNumberFormat="1" applyFill="1" applyBorder="1" applyAlignment="1" applyProtection="1">
      <alignment horizontal="center"/>
    </xf>
    <xf numFmtId="10" fontId="1" fillId="0" borderId="1" xfId="6" applyNumberFormat="1" applyBorder="1" applyAlignment="1" applyProtection="1">
      <alignment horizontal="center"/>
      <protection locked="0"/>
    </xf>
    <xf numFmtId="0" fontId="1" fillId="11" borderId="1" xfId="6" applyFill="1" applyBorder="1" applyAlignment="1" applyProtection="1">
      <alignment horizontal="center"/>
    </xf>
    <xf numFmtId="0" fontId="1" fillId="0" borderId="1" xfId="6" applyFont="1" applyBorder="1" applyAlignment="1" applyProtection="1">
      <alignment horizontal="center"/>
      <protection locked="0"/>
    </xf>
    <xf numFmtId="165" fontId="1" fillId="0" borderId="1" xfId="6" applyNumberFormat="1" applyBorder="1" applyAlignment="1" applyProtection="1">
      <alignment horizontal="center"/>
      <protection locked="0"/>
    </xf>
    <xf numFmtId="2" fontId="3" fillId="11" borderId="1" xfId="6" applyNumberFormat="1" applyFont="1" applyFill="1" applyBorder="1" applyAlignment="1" applyProtection="1">
      <alignment horizontal="center"/>
    </xf>
    <xf numFmtId="0" fontId="3" fillId="11" borderId="1" xfId="6" applyFont="1" applyFill="1" applyBorder="1" applyAlignment="1" applyProtection="1">
      <alignment horizontal="center"/>
    </xf>
    <xf numFmtId="0" fontId="1" fillId="0" borderId="0" xfId="6" applyAlignment="1" applyProtection="1">
      <alignment horizontal="center"/>
      <protection locked="0"/>
    </xf>
    <xf numFmtId="0" fontId="3" fillId="11" borderId="1" xfId="6" applyFont="1" applyFill="1" applyBorder="1" applyAlignment="1" applyProtection="1">
      <alignment horizontal="center" vertical="center" wrapText="1"/>
    </xf>
    <xf numFmtId="0" fontId="1" fillId="0" borderId="0" xfId="6" applyAlignment="1" applyProtection="1">
      <alignment vertical="center" wrapText="1"/>
    </xf>
    <xf numFmtId="0" fontId="1" fillId="0" borderId="0" xfId="6" applyAlignment="1" applyProtection="1">
      <alignment horizontal="center" vertical="center" wrapText="1"/>
    </xf>
    <xf numFmtId="0" fontId="1" fillId="0" borderId="0" xfId="6" applyFill="1" applyAlignment="1" applyProtection="1">
      <alignment vertical="center" wrapText="1"/>
    </xf>
    <xf numFmtId="0" fontId="1" fillId="11" borderId="1" xfId="6" applyFill="1" applyBorder="1" applyProtection="1"/>
    <xf numFmtId="0" fontId="1" fillId="0" borderId="0" xfId="6" applyFont="1" applyFill="1" applyProtection="1">
      <protection locked="0"/>
    </xf>
    <xf numFmtId="0" fontId="0" fillId="0" borderId="0" xfId="0" applyProtection="1"/>
    <xf numFmtId="0" fontId="0" fillId="0" borderId="0" xfId="0" applyAlignment="1" applyProtection="1">
      <alignment horizontal="left"/>
    </xf>
    <xf numFmtId="0" fontId="0" fillId="0" borderId="0" xfId="0" applyAlignment="1" applyProtection="1">
      <alignment horizontal="center"/>
    </xf>
    <xf numFmtId="0" fontId="34" fillId="4" borderId="1" xfId="1" applyFont="1" applyFill="1" applyBorder="1" applyAlignment="1" applyProtection="1">
      <alignment vertical="center" wrapText="1"/>
    </xf>
    <xf numFmtId="0" fontId="0" fillId="0" borderId="1" xfId="0" applyBorder="1"/>
    <xf numFmtId="0" fontId="14" fillId="0" borderId="0" xfId="1" applyFont="1" applyAlignment="1" applyProtection="1">
      <alignment vertical="center"/>
      <protection locked="0"/>
    </xf>
    <xf numFmtId="0" fontId="4" fillId="0" borderId="0" xfId="1" applyFont="1" applyProtection="1">
      <protection locked="0"/>
    </xf>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0" fillId="0" borderId="1" xfId="0" applyFill="1" applyBorder="1" applyAlignment="1" applyProtection="1">
      <alignment horizontal="center"/>
    </xf>
    <xf numFmtId="0" fontId="0" fillId="0" borderId="1" xfId="0" applyFill="1" applyBorder="1" applyAlignment="1">
      <alignment horizontal="center"/>
    </xf>
    <xf numFmtId="10" fontId="0" fillId="0" borderId="1" xfId="0" applyNumberFormat="1" applyBorder="1" applyAlignment="1" applyProtection="1">
      <alignment horizontal="center"/>
    </xf>
    <xf numFmtId="0" fontId="0" fillId="0" borderId="1" xfId="0" applyBorder="1" applyAlignment="1" applyProtection="1"/>
    <xf numFmtId="9" fontId="0" fillId="0" borderId="1" xfId="0" quotePrefix="1" applyNumberFormat="1" applyBorder="1" applyAlignment="1" applyProtection="1">
      <alignment horizontal="center"/>
    </xf>
    <xf numFmtId="9" fontId="0" fillId="0" borderId="1" xfId="0" quotePrefix="1" applyNumberFormat="1" applyBorder="1" applyAlignment="1">
      <alignment horizontal="center"/>
    </xf>
    <xf numFmtId="10" fontId="0" fillId="0" borderId="1" xfId="0" quotePrefix="1" applyNumberFormat="1" applyBorder="1" applyAlignment="1">
      <alignment horizontal="center"/>
    </xf>
    <xf numFmtId="0" fontId="40" fillId="0" borderId="0" xfId="8" applyFont="1" applyAlignment="1"/>
    <xf numFmtId="0" fontId="42" fillId="25" borderId="1" xfId="8" applyFont="1" applyFill="1" applyBorder="1"/>
    <xf numFmtId="0" fontId="40" fillId="0" borderId="1" xfId="8" applyFont="1" applyBorder="1"/>
    <xf numFmtId="0" fontId="0" fillId="0" borderId="0" xfId="0" pivotButton="1"/>
    <xf numFmtId="0" fontId="20" fillId="14" borderId="1" xfId="1" applyFont="1" applyFill="1" applyBorder="1" applyAlignment="1" applyProtection="1">
      <alignment horizontal="center" vertical="top" wrapText="1"/>
    </xf>
    <xf numFmtId="0" fontId="0" fillId="0" borderId="0" xfId="0" applyFont="1" applyAlignment="1">
      <alignment vertical="center"/>
    </xf>
    <xf numFmtId="0" fontId="0" fillId="16" borderId="0" xfId="0" applyFont="1" applyFill="1" applyAlignment="1">
      <alignment vertical="center"/>
    </xf>
    <xf numFmtId="0" fontId="0" fillId="16" borderId="0" xfId="0" applyFill="1" applyAlignment="1"/>
    <xf numFmtId="0" fontId="0" fillId="27" borderId="0" xfId="0" applyFont="1" applyFill="1" applyAlignment="1">
      <alignment vertical="center"/>
    </xf>
    <xf numFmtId="0" fontId="0" fillId="27" borderId="0" xfId="0" applyFill="1" applyAlignment="1"/>
    <xf numFmtId="0" fontId="0" fillId="28" borderId="0" xfId="0" applyFont="1" applyFill="1" applyAlignment="1">
      <alignment vertical="center"/>
    </xf>
    <xf numFmtId="0" fontId="0" fillId="28" borderId="0" xfId="0" applyFill="1" applyAlignment="1"/>
    <xf numFmtId="0" fontId="0" fillId="0" borderId="0" xfId="0" applyFill="1"/>
    <xf numFmtId="165" fontId="0" fillId="23" borderId="1" xfId="0" applyNumberFormat="1" applyFill="1" applyBorder="1"/>
    <xf numFmtId="2" fontId="0" fillId="23" borderId="1" xfId="0" applyNumberFormat="1" applyFill="1" applyBorder="1"/>
    <xf numFmtId="10" fontId="0" fillId="23" borderId="1" xfId="7" applyNumberFormat="1" applyFont="1" applyFill="1" applyBorder="1"/>
    <xf numFmtId="2" fontId="0" fillId="0" borderId="0" xfId="0" applyNumberFormat="1" applyAlignment="1">
      <alignment horizontal="right"/>
    </xf>
    <xf numFmtId="0" fontId="0" fillId="0" borderId="0" xfId="0" applyBorder="1"/>
    <xf numFmtId="0" fontId="54" fillId="0" borderId="0" xfId="0" applyFont="1" applyBorder="1"/>
    <xf numFmtId="0" fontId="0" fillId="0" borderId="11" xfId="0" applyBorder="1" applyAlignment="1"/>
    <xf numFmtId="173" fontId="0" fillId="0" borderId="11"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vertical="top"/>
    </xf>
    <xf numFmtId="2" fontId="0" fillId="0" borderId="0" xfId="0" applyNumberFormat="1" applyBorder="1"/>
    <xf numFmtId="165" fontId="0" fillId="0" borderId="0" xfId="0" applyNumberFormat="1" applyBorder="1"/>
    <xf numFmtId="0" fontId="0" fillId="0" borderId="1" xfId="0" applyBorder="1" applyAlignment="1">
      <alignment horizontal="center"/>
    </xf>
    <xf numFmtId="0" fontId="34" fillId="4" borderId="1" xfId="1" applyFont="1" applyFill="1" applyBorder="1" applyAlignment="1" applyProtection="1">
      <alignment horizontal="center" vertical="center" wrapText="1"/>
    </xf>
    <xf numFmtId="0" fontId="0" fillId="0" borderId="1" xfId="0" applyBorder="1" applyAlignment="1" applyProtection="1">
      <alignment horizontal="center"/>
    </xf>
    <xf numFmtId="0" fontId="0" fillId="0" borderId="0" xfId="0" applyBorder="1" applyAlignment="1">
      <alignment wrapText="1"/>
    </xf>
    <xf numFmtId="0" fontId="0" fillId="0" borderId="11" xfId="0" applyBorder="1"/>
    <xf numFmtId="0" fontId="0" fillId="0" borderId="11" xfId="0" applyBorder="1" applyAlignment="1">
      <alignment wrapText="1"/>
    </xf>
    <xf numFmtId="0" fontId="0" fillId="0" borderId="8" xfId="0" applyFill="1" applyBorder="1"/>
    <xf numFmtId="0" fontId="0" fillId="0" borderId="14" xfId="0" applyBorder="1"/>
    <xf numFmtId="0" fontId="0" fillId="0" borderId="11" xfId="0" applyFill="1" applyBorder="1"/>
    <xf numFmtId="0" fontId="0" fillId="0" borderId="0" xfId="0" applyProtection="1">
      <protection locked="0"/>
    </xf>
    <xf numFmtId="0" fontId="36" fillId="0" borderId="0" xfId="0" applyFont="1" applyProtection="1">
      <protection locked="0"/>
    </xf>
    <xf numFmtId="10"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23" borderId="1" xfId="0" applyFill="1" applyBorder="1" applyAlignment="1" applyProtection="1">
      <alignment horizontal="center"/>
    </xf>
    <xf numFmtId="15" fontId="0" fillId="23" borderId="1" xfId="0" applyNumberFormat="1" applyFill="1" applyBorder="1" applyAlignment="1" applyProtection="1">
      <alignment horizontal="center"/>
    </xf>
    <xf numFmtId="0" fontId="0" fillId="0" borderId="0" xfId="0" applyBorder="1" applyAlignment="1" applyProtection="1">
      <alignment vertical="center" textRotation="90"/>
    </xf>
    <xf numFmtId="0" fontId="36" fillId="0" borderId="0" xfId="0" applyFont="1" applyProtection="1"/>
    <xf numFmtId="0" fontId="14" fillId="0" borderId="0" xfId="1" applyFont="1" applyAlignment="1" applyProtection="1">
      <alignment vertical="center"/>
    </xf>
    <xf numFmtId="0" fontId="4" fillId="0" borderId="0" xfId="1" applyFont="1" applyProtection="1"/>
    <xf numFmtId="0" fontId="20" fillId="15" borderId="0" xfId="1" applyFont="1" applyFill="1" applyBorder="1" applyAlignment="1" applyProtection="1">
      <alignment horizontal="center"/>
    </xf>
    <xf numFmtId="0" fontId="19" fillId="0" borderId="0" xfId="1" applyFont="1" applyAlignment="1" applyProtection="1">
      <alignment horizontal="center"/>
    </xf>
    <xf numFmtId="0" fontId="1" fillId="0" borderId="1" xfId="6" applyBorder="1" applyAlignment="1" applyProtection="1">
      <alignment horizontal="center"/>
    </xf>
    <xf numFmtId="0" fontId="1" fillId="0" borderId="0" xfId="0" applyFont="1" applyProtection="1">
      <protection locked="0"/>
    </xf>
    <xf numFmtId="0" fontId="1" fillId="0" borderId="1" xfId="0" applyFont="1" applyBorder="1" applyAlignment="1" applyProtection="1">
      <alignment horizontal="center"/>
      <protection locked="0"/>
    </xf>
    <xf numFmtId="0" fontId="0" fillId="6" borderId="1" xfId="0" applyFont="1" applyFill="1" applyBorder="1" applyProtection="1">
      <protection locked="0"/>
    </xf>
    <xf numFmtId="0" fontId="1" fillId="0" borderId="1" xfId="0" applyFont="1" applyFill="1" applyBorder="1" applyAlignment="1" applyProtection="1">
      <protection locked="0"/>
    </xf>
    <xf numFmtId="0" fontId="1" fillId="0" borderId="1" xfId="0" applyFont="1" applyFill="1" applyBorder="1" applyAlignment="1" applyProtection="1">
      <alignment horizontal="center"/>
      <protection locked="0"/>
    </xf>
    <xf numFmtId="3" fontId="32" fillId="0" borderId="1" xfId="0" applyNumberFormat="1" applyFont="1" applyBorder="1" applyAlignment="1" applyProtection="1">
      <alignment horizontal="center" vertical="center" wrapText="1"/>
      <protection locked="0"/>
    </xf>
    <xf numFmtId="10" fontId="32" fillId="0" borderId="1" xfId="0" applyNumberFormat="1" applyFont="1" applyBorder="1" applyAlignment="1" applyProtection="1">
      <alignment horizontal="center" vertical="center" wrapText="1"/>
      <protection locked="0"/>
    </xf>
    <xf numFmtId="3" fontId="32" fillId="22" borderId="1" xfId="0" applyNumberFormat="1" applyFont="1" applyFill="1" applyBorder="1" applyAlignment="1" applyProtection="1">
      <alignment horizontal="center" vertical="center" wrapText="1"/>
      <protection locked="0"/>
    </xf>
    <xf numFmtId="0" fontId="33" fillId="0" borderId="1" xfId="0" applyFont="1" applyFill="1" applyBorder="1" applyAlignment="1" applyProtection="1">
      <alignment horizontal="left"/>
      <protection locked="0"/>
    </xf>
    <xf numFmtId="14" fontId="33" fillId="0" borderId="1" xfId="0" applyNumberFormat="1" applyFont="1" applyFill="1" applyBorder="1" applyAlignment="1" applyProtection="1">
      <alignment horizontal="left"/>
      <protection locked="0"/>
    </xf>
    <xf numFmtId="0" fontId="1" fillId="0" borderId="1" xfId="0" applyFont="1" applyBorder="1" applyProtection="1">
      <protection locked="0"/>
    </xf>
    <xf numFmtId="10" fontId="1" fillId="0" borderId="1" xfId="0" applyNumberFormat="1" applyFont="1" applyBorder="1" applyAlignment="1" applyProtection="1">
      <alignment horizontal="center"/>
      <protection locked="0"/>
    </xf>
    <xf numFmtId="0" fontId="1" fillId="0" borderId="1" xfId="0" applyFont="1" applyFill="1" applyBorder="1" applyAlignment="1" applyProtection="1">
      <alignment horizontal="left"/>
      <protection locked="0"/>
    </xf>
    <xf numFmtId="10" fontId="1" fillId="0" borderId="1" xfId="0" applyNumberFormat="1" applyFont="1" applyFill="1" applyBorder="1" applyAlignment="1" applyProtection="1">
      <alignment horizontal="left"/>
      <protection locked="0"/>
    </xf>
    <xf numFmtId="0" fontId="1" fillId="0" borderId="1" xfId="0" applyFont="1" applyBorder="1" applyAlignment="1" applyProtection="1">
      <protection locked="0"/>
    </xf>
    <xf numFmtId="0" fontId="1" fillId="0" borderId="1" xfId="0" applyFont="1" applyBorder="1" applyAlignment="1" applyProtection="1">
      <alignment horizontal="center" vertical="center"/>
      <protection locked="0"/>
    </xf>
    <xf numFmtId="10" fontId="1" fillId="0" borderId="1" xfId="0" applyNumberFormat="1" applyFont="1" applyBorder="1" applyAlignment="1" applyProtection="1">
      <alignment horizontal="center" vertical="center"/>
      <protection locked="0"/>
    </xf>
    <xf numFmtId="0" fontId="1" fillId="23" borderId="1" xfId="0" applyFont="1" applyFill="1" applyBorder="1" applyAlignment="1" applyProtection="1">
      <alignment horizontal="center"/>
    </xf>
    <xf numFmtId="3" fontId="32" fillId="22" borderId="1" xfId="0" applyNumberFormat="1" applyFont="1" applyFill="1" applyBorder="1" applyAlignment="1" applyProtection="1">
      <alignment horizontal="center" vertical="center" wrapText="1"/>
    </xf>
    <xf numFmtId="10" fontId="32" fillId="22" borderId="1" xfId="0" applyNumberFormat="1" applyFont="1" applyFill="1" applyBorder="1" applyAlignment="1" applyProtection="1">
      <alignment vertical="center" wrapText="1"/>
    </xf>
    <xf numFmtId="0" fontId="1" fillId="23" borderId="1" xfId="0" applyFont="1" applyFill="1" applyBorder="1" applyProtection="1"/>
    <xf numFmtId="1" fontId="1" fillId="23" borderId="1" xfId="0" applyNumberFormat="1" applyFont="1" applyFill="1" applyBorder="1" applyProtection="1"/>
    <xf numFmtId="10" fontId="1" fillId="23" borderId="1" xfId="7" applyNumberFormat="1" applyFont="1" applyFill="1" applyBorder="1" applyAlignment="1" applyProtection="1">
      <alignment horizontal="center"/>
    </xf>
    <xf numFmtId="10" fontId="32" fillId="23" borderId="1" xfId="0" applyNumberFormat="1" applyFont="1" applyFill="1" applyBorder="1" applyAlignment="1" applyProtection="1">
      <alignment horizontal="center" vertical="center" wrapText="1"/>
    </xf>
    <xf numFmtId="0" fontId="1" fillId="0" borderId="1" xfId="0" applyFont="1" applyBorder="1" applyProtection="1"/>
    <xf numFmtId="0" fontId="1" fillId="0" borderId="0" xfId="0" applyFont="1" applyProtection="1"/>
    <xf numFmtId="0" fontId="0" fillId="23" borderId="1" xfId="0" applyFont="1" applyFill="1" applyBorder="1" applyProtection="1"/>
    <xf numFmtId="1" fontId="0" fillId="23" borderId="1" xfId="0" applyNumberFormat="1" applyFont="1" applyFill="1" applyBorder="1" applyAlignment="1" applyProtection="1">
      <alignment horizontal="center"/>
    </xf>
    <xf numFmtId="1" fontId="1" fillId="23" borderId="1" xfId="0" applyNumberFormat="1" applyFont="1" applyFill="1" applyBorder="1" applyAlignment="1" applyProtection="1">
      <alignment horizontal="center"/>
    </xf>
    <xf numFmtId="0" fontId="0" fillId="0" borderId="0" xfId="0" applyBorder="1" applyProtection="1">
      <protection locked="0"/>
    </xf>
    <xf numFmtId="173" fontId="36" fillId="0" borderId="11" xfId="0" applyNumberFormat="1" applyFont="1" applyBorder="1" applyAlignment="1" applyProtection="1">
      <alignment vertical="center"/>
      <protection locked="0"/>
    </xf>
    <xf numFmtId="0" fontId="0" fillId="0" borderId="0" xfId="0" applyBorder="1" applyAlignment="1" applyProtection="1">
      <alignment horizontal="left"/>
      <protection locked="0"/>
    </xf>
    <xf numFmtId="2" fontId="0" fillId="0" borderId="0" xfId="0" applyNumberFormat="1" applyBorder="1" applyProtection="1">
      <protection locked="0"/>
    </xf>
    <xf numFmtId="0" fontId="0" fillId="0" borderId="0" xfId="0" applyBorder="1" applyAlignment="1" applyProtection="1">
      <alignment wrapText="1"/>
      <protection locked="0"/>
    </xf>
    <xf numFmtId="2" fontId="0" fillId="0" borderId="0" xfId="0" applyNumberFormat="1" applyBorder="1" applyAlignment="1" applyProtection="1">
      <alignment wrapText="1"/>
      <protection locked="0"/>
    </xf>
    <xf numFmtId="0" fontId="0" fillId="0" borderId="0" xfId="0" applyAlignment="1" applyProtection="1">
      <alignment wrapText="1"/>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vertical="top" wrapText="1"/>
      <protection locked="0"/>
    </xf>
    <xf numFmtId="2" fontId="0" fillId="0" borderId="0" xfId="0" applyNumberFormat="1" applyBorder="1" applyAlignment="1" applyProtection="1">
      <alignment horizontal="left"/>
      <protection locked="0"/>
    </xf>
    <xf numFmtId="0" fontId="0" fillId="0" borderId="0" xfId="0" applyBorder="1" applyAlignment="1" applyProtection="1">
      <protection locked="0"/>
    </xf>
    <xf numFmtId="0" fontId="0" fillId="0" borderId="0" xfId="0" applyBorder="1" applyProtection="1"/>
    <xf numFmtId="0" fontId="54" fillId="0" borderId="0" xfId="0" applyFont="1" applyBorder="1" applyProtection="1"/>
    <xf numFmtId="0" fontId="0" fillId="0" borderId="11" xfId="0" applyBorder="1" applyAlignment="1" applyProtection="1"/>
    <xf numFmtId="173" fontId="0" fillId="0" borderId="11" xfId="0" applyNumberFormat="1" applyBorder="1" applyAlignment="1" applyProtection="1">
      <alignment horizontal="center"/>
    </xf>
    <xf numFmtId="1" fontId="0" fillId="0" borderId="11" xfId="0" applyNumberFormat="1" applyBorder="1" applyAlignment="1" applyProtection="1">
      <alignment horizontal="center"/>
    </xf>
    <xf numFmtId="0" fontId="0" fillId="0" borderId="0" xfId="0" applyBorder="1" applyAlignment="1" applyProtection="1">
      <alignment vertical="top"/>
    </xf>
    <xf numFmtId="0" fontId="0" fillId="0" borderId="0" xfId="0" applyBorder="1" applyAlignment="1" applyProtection="1">
      <alignment horizontal="left" vertical="top"/>
    </xf>
    <xf numFmtId="0" fontId="3" fillId="0" borderId="0" xfId="0" applyFont="1" applyBorder="1" applyAlignment="1" applyProtection="1">
      <alignment vertical="top"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2" fontId="0" fillId="0" borderId="0" xfId="0" applyNumberFormat="1" applyBorder="1" applyProtection="1"/>
    <xf numFmtId="165" fontId="0" fillId="0" borderId="0" xfId="0" applyNumberFormat="1" applyBorder="1" applyAlignment="1" applyProtection="1"/>
    <xf numFmtId="165" fontId="0" fillId="0" borderId="0" xfId="0" applyNumberFormat="1" applyBorder="1" applyProtection="1"/>
    <xf numFmtId="0" fontId="1" fillId="23" borderId="1" xfId="0" applyFont="1" applyFill="1" applyBorder="1" applyAlignment="1" applyProtection="1">
      <alignment horizontal="center"/>
    </xf>
    <xf numFmtId="0" fontId="56" fillId="0" borderId="11" xfId="0" applyFont="1" applyBorder="1" applyAlignment="1"/>
    <xf numFmtId="2" fontId="56" fillId="0" borderId="11" xfId="0" applyNumberFormat="1" applyFont="1" applyBorder="1" applyAlignment="1" applyProtection="1">
      <alignment horizontal="center"/>
      <protection locked="0"/>
    </xf>
    <xf numFmtId="0" fontId="56" fillId="0" borderId="0" xfId="0" applyFont="1" applyAlignment="1"/>
    <xf numFmtId="2" fontId="56" fillId="0" borderId="0" xfId="0" applyNumberFormat="1" applyFont="1" applyAlignment="1">
      <alignment horizontal="center"/>
    </xf>
    <xf numFmtId="2" fontId="56" fillId="0" borderId="18" xfId="0" applyNumberFormat="1" applyFont="1" applyBorder="1" applyAlignment="1">
      <alignment horizontal="center"/>
    </xf>
    <xf numFmtId="2" fontId="56" fillId="0" borderId="0" xfId="0" applyNumberFormat="1" applyFont="1" applyAlignment="1" applyProtection="1">
      <alignment horizontal="center"/>
      <protection locked="0"/>
    </xf>
    <xf numFmtId="2" fontId="56" fillId="0" borderId="18" xfId="0" applyNumberFormat="1" applyFont="1" applyBorder="1" applyAlignment="1" applyProtection="1">
      <alignment horizontal="center"/>
      <protection locked="0"/>
    </xf>
    <xf numFmtId="0" fontId="56" fillId="19" borderId="0" xfId="0" applyFont="1" applyFill="1" applyAlignment="1"/>
    <xf numFmtId="2" fontId="56" fillId="19" borderId="0" xfId="0" applyNumberFormat="1" applyFont="1" applyFill="1" applyAlignment="1">
      <alignment horizontal="center"/>
    </xf>
    <xf numFmtId="2" fontId="56" fillId="19" borderId="18" xfId="0" applyNumberFormat="1" applyFont="1" applyFill="1" applyBorder="1" applyAlignment="1">
      <alignment horizontal="center"/>
    </xf>
    <xf numFmtId="165" fontId="6" fillId="10" borderId="11" xfId="2" applyNumberFormat="1" applyFont="1" applyFill="1" applyBorder="1" applyAlignment="1" applyProtection="1">
      <alignment horizontal="center"/>
    </xf>
    <xf numFmtId="0" fontId="6" fillId="10" borderId="11" xfId="2" applyFont="1" applyFill="1" applyBorder="1" applyAlignment="1" applyProtection="1"/>
    <xf numFmtId="0" fontId="14" fillId="0" borderId="11" xfId="2" applyFont="1" applyBorder="1" applyAlignment="1" applyProtection="1"/>
    <xf numFmtId="2" fontId="14" fillId="0" borderId="11" xfId="2" applyNumberFormat="1" applyFont="1" applyBorder="1" applyAlignment="1" applyProtection="1">
      <alignment horizontal="center"/>
      <protection locked="0"/>
    </xf>
    <xf numFmtId="0" fontId="11" fillId="12" borderId="11" xfId="2" applyFont="1" applyFill="1" applyBorder="1" applyAlignment="1" applyProtection="1"/>
    <xf numFmtId="2" fontId="11" fillId="12" borderId="11" xfId="2" applyNumberFormat="1" applyFont="1" applyFill="1" applyBorder="1" applyAlignment="1" applyProtection="1">
      <alignment horizontal="center"/>
    </xf>
    <xf numFmtId="2" fontId="11" fillId="12" borderId="12" xfId="2" applyNumberFormat="1" applyFont="1" applyFill="1" applyBorder="1" applyAlignment="1" applyProtection="1">
      <alignment horizontal="center"/>
    </xf>
    <xf numFmtId="0" fontId="6" fillId="10" borderId="11" xfId="2" applyFont="1" applyFill="1" applyBorder="1" applyAlignment="1" applyProtection="1">
      <alignment horizontal="center"/>
    </xf>
    <xf numFmtId="0" fontId="14" fillId="0" borderId="11" xfId="2" applyFont="1" applyFill="1" applyBorder="1" applyAlignment="1" applyProtection="1"/>
    <xf numFmtId="2" fontId="14" fillId="0" borderId="11" xfId="2" applyNumberFormat="1" applyFont="1" applyFill="1" applyBorder="1" applyAlignment="1" applyProtection="1">
      <alignment horizontal="center"/>
      <protection locked="0"/>
    </xf>
    <xf numFmtId="0" fontId="15" fillId="10" borderId="11" xfId="2" applyFont="1" applyFill="1" applyBorder="1" applyAlignment="1" applyProtection="1">
      <alignment horizontal="right"/>
    </xf>
    <xf numFmtId="2" fontId="15" fillId="10" borderId="11" xfId="2" applyNumberFormat="1" applyFont="1" applyFill="1" applyBorder="1" applyAlignment="1" applyProtection="1">
      <alignment horizontal="center"/>
    </xf>
    <xf numFmtId="2" fontId="15" fillId="10" borderId="12" xfId="2" applyNumberFormat="1" applyFont="1" applyFill="1" applyBorder="1" applyAlignment="1" applyProtection="1">
      <alignment horizontal="center"/>
    </xf>
    <xf numFmtId="0" fontId="11" fillId="13" borderId="11" xfId="2" applyFont="1" applyFill="1" applyBorder="1" applyAlignment="1" applyProtection="1"/>
    <xf numFmtId="2" fontId="14" fillId="11" borderId="11" xfId="2" quotePrefix="1" applyNumberFormat="1" applyFont="1" applyFill="1" applyBorder="1" applyAlignment="1" applyProtection="1">
      <alignment horizontal="center"/>
    </xf>
    <xf numFmtId="166" fontId="14" fillId="0" borderId="11" xfId="2" applyNumberFormat="1" applyFont="1" applyBorder="1" applyAlignment="1" applyProtection="1">
      <alignment horizontal="center"/>
    </xf>
    <xf numFmtId="166" fontId="14" fillId="0" borderId="12" xfId="2" applyNumberFormat="1" applyFont="1" applyBorder="1" applyAlignment="1" applyProtection="1">
      <alignment horizontal="center"/>
    </xf>
    <xf numFmtId="10" fontId="14" fillId="11" borderId="11" xfId="2" quotePrefix="1" applyNumberFormat="1" applyFont="1" applyFill="1" applyBorder="1" applyAlignment="1" applyProtection="1">
      <alignment horizontal="center"/>
    </xf>
    <xf numFmtId="0" fontId="0" fillId="0" borderId="0" xfId="0" applyAlignment="1">
      <alignment horizontal="left" vertical="center"/>
    </xf>
    <xf numFmtId="0" fontId="34" fillId="4" borderId="11" xfId="1" applyFont="1" applyFill="1" applyBorder="1" applyAlignment="1" applyProtection="1">
      <alignment vertical="center" wrapText="1"/>
    </xf>
    <xf numFmtId="0" fontId="1" fillId="23" borderId="11" xfId="0" applyFont="1" applyFill="1" applyBorder="1" applyProtection="1"/>
    <xf numFmtId="0" fontId="1" fillId="6" borderId="11" xfId="0" applyFont="1" applyFill="1" applyBorder="1" applyAlignment="1" applyProtection="1">
      <alignment horizontal="center"/>
      <protection locked="0"/>
    </xf>
    <xf numFmtId="0" fontId="34" fillId="0" borderId="0" xfId="1" applyFont="1" applyFill="1" applyBorder="1" applyAlignment="1" applyProtection="1">
      <alignment vertical="center" wrapText="1"/>
    </xf>
    <xf numFmtId="1" fontId="1" fillId="0" borderId="0" xfId="0" applyNumberFormat="1" applyFont="1" applyFill="1" applyBorder="1" applyAlignment="1" applyProtection="1">
      <alignment horizontal="center"/>
    </xf>
    <xf numFmtId="0" fontId="0" fillId="0" borderId="1" xfId="0" applyFont="1" applyBorder="1" applyProtection="1">
      <protection locked="0"/>
    </xf>
    <xf numFmtId="1" fontId="0" fillId="0" borderId="1" xfId="0" applyNumberFormat="1" applyBorder="1" applyAlignment="1" applyProtection="1">
      <alignment horizontal="center" vertical="center"/>
      <protection locked="0"/>
    </xf>
    <xf numFmtId="4" fontId="0" fillId="0" borderId="1" xfId="0" applyNumberFormat="1" applyBorder="1" applyAlignment="1" applyProtection="1">
      <alignment horizontal="center" vertical="center"/>
      <protection locked="0"/>
    </xf>
    <xf numFmtId="0" fontId="0" fillId="0" borderId="0" xfId="0"/>
    <xf numFmtId="0" fontId="0" fillId="0" borderId="11" xfId="0" applyBorder="1" applyAlignment="1">
      <alignment horizontal="center"/>
    </xf>
    <xf numFmtId="0" fontId="0" fillId="0" borderId="0" xfId="0" applyAlignment="1">
      <alignment horizontal="center"/>
    </xf>
    <xf numFmtId="10" fontId="0" fillId="0" borderId="11" xfId="0" applyNumberFormat="1" applyBorder="1" applyAlignment="1">
      <alignment horizontal="center"/>
    </xf>
    <xf numFmtId="2" fontId="0" fillId="23" borderId="11" xfId="0" applyNumberFormat="1" applyFill="1" applyBorder="1"/>
    <xf numFmtId="2" fontId="0" fillId="0" borderId="11" xfId="0" applyNumberFormat="1" applyBorder="1" applyAlignment="1">
      <alignment horizontal="center"/>
    </xf>
    <xf numFmtId="0" fontId="27" fillId="18" borderId="11" xfId="1" applyFont="1" applyFill="1" applyBorder="1" applyAlignment="1" applyProtection="1">
      <alignment horizontal="center" vertical="center" wrapText="1"/>
    </xf>
    <xf numFmtId="2" fontId="26" fillId="19" borderId="11" xfId="5" applyNumberFormat="1" applyFont="1" applyFill="1" applyBorder="1" applyAlignment="1" applyProtection="1">
      <alignment horizontal="center"/>
      <protection locked="0"/>
    </xf>
    <xf numFmtId="9" fontId="19" fillId="11" borderId="11" xfId="4" applyFont="1" applyFill="1" applyBorder="1" applyAlignment="1" applyProtection="1">
      <alignment horizontal="center"/>
    </xf>
    <xf numFmtId="2" fontId="19" fillId="11" borderId="11" xfId="1" applyNumberFormat="1" applyFont="1" applyFill="1" applyBorder="1" applyAlignment="1" applyProtection="1">
      <alignment horizontal="center"/>
    </xf>
    <xf numFmtId="167" fontId="28" fillId="18" borderId="11" xfId="1" applyNumberFormat="1" applyFont="1" applyFill="1" applyBorder="1" applyAlignment="1" applyProtection="1">
      <alignment horizontal="center"/>
    </xf>
    <xf numFmtId="0" fontId="19" fillId="18" borderId="11" xfId="1" applyFont="1" applyFill="1" applyBorder="1" applyAlignment="1" applyProtection="1">
      <alignment horizontal="center"/>
    </xf>
    <xf numFmtId="0" fontId="28" fillId="11" borderId="11" xfId="1" applyFont="1" applyFill="1" applyBorder="1" applyAlignment="1" applyProtection="1">
      <alignment horizontal="left"/>
    </xf>
    <xf numFmtId="2" fontId="28" fillId="18" borderId="11" xfId="1" applyNumberFormat="1" applyFont="1" applyFill="1" applyBorder="1" applyAlignment="1" applyProtection="1">
      <alignment horizontal="center"/>
    </xf>
    <xf numFmtId="0" fontId="28" fillId="18" borderId="11" xfId="1" applyFont="1" applyFill="1" applyBorder="1" applyAlignment="1" applyProtection="1">
      <alignment horizontal="center"/>
    </xf>
    <xf numFmtId="10" fontId="28" fillId="18" borderId="11" xfId="1" applyNumberFormat="1" applyFont="1" applyFill="1" applyBorder="1" applyAlignment="1" applyProtection="1">
      <alignment horizontal="center"/>
    </xf>
    <xf numFmtId="10" fontId="19" fillId="18" borderId="11" xfId="1" applyNumberFormat="1" applyFont="1" applyFill="1" applyBorder="1" applyAlignment="1" applyProtection="1">
      <alignment horizontal="center"/>
    </xf>
    <xf numFmtId="10" fontId="19" fillId="18" borderId="1" xfId="1" applyNumberFormat="1" applyFont="1" applyFill="1" applyBorder="1" applyAlignment="1" applyProtection="1">
      <alignment horizontal="center"/>
    </xf>
    <xf numFmtId="2" fontId="8" fillId="23" borderId="1" xfId="6" applyNumberFormat="1" applyFont="1" applyFill="1" applyBorder="1" applyAlignment="1" applyProtection="1">
      <alignment horizontal="center"/>
    </xf>
    <xf numFmtId="0" fontId="1" fillId="23" borderId="1" xfId="0" applyFont="1" applyFill="1" applyBorder="1" applyAlignment="1" applyProtection="1">
      <alignment horizontal="center"/>
    </xf>
    <xf numFmtId="0" fontId="0" fillId="0" borderId="8" xfId="0" applyBorder="1"/>
    <xf numFmtId="0" fontId="19" fillId="0" borderId="0" xfId="1" applyFont="1" applyFill="1" applyBorder="1" applyAlignment="1" applyProtection="1">
      <alignment horizontal="center"/>
    </xf>
    <xf numFmtId="2" fontId="19" fillId="0" borderId="0" xfId="1" applyNumberFormat="1" applyFont="1" applyFill="1" applyBorder="1" applyAlignment="1" applyProtection="1">
      <alignment horizontal="center"/>
    </xf>
    <xf numFmtId="0" fontId="19" fillId="0" borderId="0" xfId="1" applyFont="1" applyFill="1" applyAlignment="1" applyProtection="1">
      <alignment horizontal="center"/>
    </xf>
    <xf numFmtId="10" fontId="19" fillId="0" borderId="0" xfId="7" applyNumberFormat="1" applyFont="1" applyFill="1" applyBorder="1" applyAlignment="1" applyProtection="1">
      <alignment horizontal="center"/>
    </xf>
    <xf numFmtId="15" fontId="0" fillId="0" borderId="0" xfId="0" applyNumberFormat="1"/>
    <xf numFmtId="2" fontId="19" fillId="0" borderId="0" xfId="7" applyNumberFormat="1" applyFont="1" applyFill="1" applyBorder="1" applyAlignment="1" applyProtection="1">
      <alignment horizontal="center"/>
    </xf>
    <xf numFmtId="15" fontId="3" fillId="4" borderId="11" xfId="6" applyNumberFormat="1" applyFont="1" applyFill="1" applyBorder="1" applyProtection="1"/>
    <xf numFmtId="0" fontId="3" fillId="4" borderId="11" xfId="6" applyFont="1" applyFill="1" applyBorder="1" applyAlignment="1" applyProtection="1">
      <alignment horizontal="center" vertical="center" wrapText="1"/>
    </xf>
    <xf numFmtId="0" fontId="1" fillId="0" borderId="11" xfId="6" applyFill="1" applyBorder="1" applyAlignment="1" applyProtection="1">
      <alignment horizontal="center"/>
    </xf>
    <xf numFmtId="2" fontId="1" fillId="0" borderId="11" xfId="6" applyNumberFormat="1" applyFill="1" applyBorder="1" applyAlignment="1" applyProtection="1">
      <alignment horizontal="center"/>
    </xf>
    <xf numFmtId="15" fontId="1" fillId="0" borderId="11" xfId="6" applyNumberFormat="1" applyFill="1" applyBorder="1" applyAlignment="1" applyProtection="1">
      <alignment horizontal="center"/>
    </xf>
    <xf numFmtId="0" fontId="1" fillId="0" borderId="11" xfId="6" applyFill="1" applyBorder="1" applyAlignment="1" applyProtection="1">
      <alignment horizontal="center"/>
      <protection hidden="1"/>
    </xf>
    <xf numFmtId="2" fontId="1" fillId="0" borderId="11" xfId="6" applyNumberFormat="1" applyFill="1" applyBorder="1" applyAlignment="1" applyProtection="1">
      <alignment horizontal="center"/>
      <protection hidden="1"/>
    </xf>
    <xf numFmtId="2" fontId="1" fillId="11" borderId="1" xfId="6" applyNumberFormat="1" applyFill="1" applyBorder="1" applyAlignment="1" applyProtection="1">
      <alignment horizontal="center"/>
      <protection hidden="1"/>
    </xf>
    <xf numFmtId="15" fontId="1" fillId="11" borderId="1" xfId="6" applyNumberFormat="1" applyFill="1" applyBorder="1" applyAlignment="1" applyProtection="1">
      <alignment horizontal="center"/>
      <protection hidden="1"/>
    </xf>
    <xf numFmtId="0" fontId="1" fillId="11" borderId="1" xfId="6" applyFill="1" applyBorder="1" applyAlignment="1" applyProtection="1">
      <alignment horizontal="center"/>
      <protection hidden="1"/>
    </xf>
    <xf numFmtId="0" fontId="19" fillId="11" borderId="1" xfId="1" applyFont="1" applyFill="1" applyBorder="1" applyAlignment="1" applyProtection="1">
      <alignment horizontal="center"/>
    </xf>
    <xf numFmtId="2" fontId="19" fillId="11" borderId="12" xfId="1" applyNumberFormat="1" applyFont="1" applyFill="1" applyBorder="1" applyAlignment="1" applyProtection="1">
      <alignment horizontal="center"/>
    </xf>
    <xf numFmtId="0" fontId="27" fillId="18" borderId="15" xfId="1" applyFont="1" applyFill="1" applyBorder="1" applyAlignment="1" applyProtection="1">
      <alignment horizontal="center" vertical="center" wrapText="1"/>
    </xf>
    <xf numFmtId="0" fontId="3" fillId="32" borderId="11" xfId="0" applyFont="1" applyFill="1" applyBorder="1" applyAlignment="1" applyProtection="1">
      <alignment horizontal="center"/>
      <protection locked="0"/>
    </xf>
    <xf numFmtId="1" fontId="3" fillId="32" borderId="11" xfId="0" applyNumberFormat="1"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3" fillId="0" borderId="14"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18" xfId="0" applyBorder="1" applyAlignment="1" applyProtection="1">
      <alignment horizontal="center"/>
      <protection locked="0"/>
    </xf>
    <xf numFmtId="174" fontId="0" fillId="0" borderId="11" xfId="10" applyNumberFormat="1" applyFont="1" applyBorder="1" applyAlignment="1" applyProtection="1">
      <alignment horizontal="center"/>
      <protection locked="0"/>
    </xf>
    <xf numFmtId="0" fontId="3" fillId="31" borderId="11" xfId="0" applyFont="1" applyFill="1" applyBorder="1" applyAlignment="1" applyProtection="1">
      <alignment horizontal="center"/>
    </xf>
    <xf numFmtId="2" fontId="3" fillId="31" borderId="11" xfId="0" applyNumberFormat="1" applyFont="1" applyFill="1" applyBorder="1" applyAlignment="1" applyProtection="1">
      <alignment horizontal="center"/>
    </xf>
    <xf numFmtId="0" fontId="4" fillId="0" borderId="11" xfId="1" applyFont="1" applyBorder="1" applyProtection="1"/>
    <xf numFmtId="168" fontId="31" fillId="0" borderId="1" xfId="6" applyNumberFormat="1" applyFont="1" applyFill="1" applyBorder="1" applyAlignment="1" applyProtection="1">
      <alignment horizontal="center" wrapText="1"/>
      <protection locked="0"/>
    </xf>
    <xf numFmtId="0" fontId="1" fillId="0" borderId="11" xfId="6" applyFont="1" applyBorder="1" applyAlignment="1" applyProtection="1">
      <alignment horizontal="center"/>
      <protection locked="0"/>
    </xf>
    <xf numFmtId="0" fontId="0" fillId="0" borderId="0" xfId="0" applyFill="1" applyProtection="1">
      <protection locked="0"/>
    </xf>
    <xf numFmtId="174" fontId="3" fillId="31" borderId="11" xfId="0" applyNumberFormat="1" applyFont="1" applyFill="1" applyBorder="1" applyAlignment="1" applyProtection="1">
      <alignment horizontal="center"/>
    </xf>
    <xf numFmtId="1" fontId="3" fillId="32" borderId="14" xfId="0" applyNumberFormat="1" applyFont="1" applyFill="1" applyBorder="1" applyAlignment="1" applyProtection="1">
      <alignment horizontal="center"/>
      <protection locked="0"/>
    </xf>
    <xf numFmtId="0" fontId="3" fillId="32" borderId="14" xfId="0" applyFont="1" applyFill="1" applyBorder="1" applyAlignment="1" applyProtection="1">
      <alignment horizontal="center"/>
      <protection locked="0"/>
    </xf>
    <xf numFmtId="174" fontId="0" fillId="0" borderId="11" xfId="0" applyNumberFormat="1" applyBorder="1" applyAlignment="1" applyProtection="1">
      <alignment horizontal="center"/>
      <protection locked="0"/>
    </xf>
    <xf numFmtId="0" fontId="3" fillId="34" borderId="11" xfId="0" applyFont="1" applyFill="1" applyBorder="1" applyAlignment="1" applyProtection="1">
      <alignment horizontal="center"/>
      <protection locked="0"/>
    </xf>
    <xf numFmtId="0" fontId="3" fillId="34" borderId="11" xfId="0" applyFont="1" applyFill="1" applyBorder="1" applyAlignment="1" applyProtection="1">
      <alignment horizontal="left"/>
      <protection locked="0"/>
    </xf>
    <xf numFmtId="174" fontId="0" fillId="34" borderId="11" xfId="0" applyNumberFormat="1" applyFill="1" applyBorder="1" applyAlignment="1" applyProtection="1">
      <alignment horizontal="center"/>
      <protection locked="0"/>
    </xf>
    <xf numFmtId="0" fontId="3" fillId="23" borderId="11" xfId="0" applyFont="1" applyFill="1" applyBorder="1" applyAlignment="1">
      <alignment horizontal="left" vertical="center" wrapText="1"/>
    </xf>
    <xf numFmtId="165" fontId="3" fillId="23" borderId="11" xfId="0" applyNumberFormat="1" applyFont="1" applyFill="1" applyBorder="1"/>
    <xf numFmtId="10" fontId="0" fillId="23" borderId="11" xfId="7" applyNumberFormat="1" applyFont="1" applyFill="1" applyBorder="1"/>
    <xf numFmtId="0" fontId="11" fillId="9" borderId="11" xfId="2" applyFont="1" applyFill="1" applyBorder="1" applyAlignment="1" applyProtection="1">
      <alignment horizontal="center"/>
      <protection locked="0"/>
    </xf>
    <xf numFmtId="165" fontId="0" fillId="23" borderId="11" xfId="0" applyNumberFormat="1" applyFill="1" applyBorder="1"/>
    <xf numFmtId="0" fontId="0" fillId="6" borderId="11" xfId="0" applyFill="1" applyBorder="1" applyAlignment="1" applyProtection="1">
      <alignment horizontal="center"/>
      <protection locked="0"/>
    </xf>
    <xf numFmtId="10" fontId="0" fillId="0" borderId="11" xfId="0" applyNumberFormat="1" applyFill="1" applyBorder="1" applyAlignment="1" applyProtection="1">
      <protection locked="0"/>
    </xf>
    <xf numFmtId="0" fontId="0" fillId="0" borderId="11" xfId="0" applyBorder="1"/>
    <xf numFmtId="0" fontId="0" fillId="0" borderId="11" xfId="0" applyBorder="1" applyAlignment="1" applyProtection="1">
      <alignment horizontal="left"/>
      <protection locked="0"/>
    </xf>
    <xf numFmtId="0" fontId="3" fillId="32" borderId="20" xfId="0" applyFont="1" applyFill="1" applyBorder="1" applyAlignment="1" applyProtection="1">
      <alignment horizontal="left"/>
      <protection locked="0"/>
    </xf>
    <xf numFmtId="0" fontId="3" fillId="32" borderId="14" xfId="0" applyFont="1" applyFill="1" applyBorder="1" applyAlignment="1" applyProtection="1">
      <alignment horizontal="left"/>
      <protection locked="0"/>
    </xf>
    <xf numFmtId="0" fontId="3" fillId="32" borderId="11" xfId="0" applyFont="1" applyFill="1" applyBorder="1" applyAlignment="1" applyProtection="1">
      <alignment horizontal="left"/>
      <protection locked="0"/>
    </xf>
    <xf numFmtId="0" fontId="3" fillId="31" borderId="11" xfId="0" applyFont="1" applyFill="1" applyBorder="1" applyAlignment="1" applyProtection="1">
      <alignment horizontal="left"/>
    </xf>
    <xf numFmtId="0" fontId="3" fillId="0" borderId="11" xfId="0" applyFont="1" applyFill="1" applyBorder="1" applyAlignment="1" applyProtection="1">
      <alignment horizontal="left"/>
      <protection locked="0"/>
    </xf>
    <xf numFmtId="0" fontId="3" fillId="0" borderId="14"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0" fillId="0" borderId="8" xfId="0" applyBorder="1" applyAlignment="1" applyProtection="1">
      <alignment horizontal="left"/>
      <protection locked="0"/>
    </xf>
    <xf numFmtId="0" fontId="0" fillId="0" borderId="0" xfId="0" applyAlignment="1" applyProtection="1">
      <alignment horizontal="left"/>
      <protection locked="0"/>
    </xf>
    <xf numFmtId="0" fontId="25" fillId="36" borderId="11" xfId="5" applyFill="1" applyBorder="1" applyAlignment="1" applyProtection="1">
      <alignment horizontal="left" vertical="center"/>
      <protection locked="0"/>
    </xf>
    <xf numFmtId="2" fontId="0" fillId="0" borderId="0" xfId="0" applyNumberFormat="1" applyFill="1" applyBorder="1"/>
    <xf numFmtId="0" fontId="0" fillId="0" borderId="0" xfId="0" applyAlignment="1">
      <alignment wrapText="1"/>
    </xf>
    <xf numFmtId="0" fontId="1" fillId="37" borderId="1" xfId="6" applyFill="1" applyBorder="1" applyAlignment="1" applyProtection="1">
      <alignment horizontal="center"/>
      <protection locked="0"/>
    </xf>
    <xf numFmtId="0" fontId="1" fillId="37" borderId="1" xfId="6" applyFill="1" applyBorder="1" applyProtection="1">
      <protection locked="0"/>
    </xf>
    <xf numFmtId="0" fontId="1" fillId="37" borderId="1" xfId="6" applyFill="1" applyBorder="1" applyAlignment="1" applyProtection="1">
      <alignment horizontal="left"/>
      <protection locked="0"/>
    </xf>
    <xf numFmtId="0" fontId="13" fillId="37" borderId="1" xfId="6" applyFont="1" applyFill="1" applyBorder="1" applyAlignment="1" applyProtection="1">
      <alignment horizontal="center"/>
      <protection locked="0"/>
    </xf>
    <xf numFmtId="10" fontId="1" fillId="0" borderId="11" xfId="6" applyNumberFormat="1" applyBorder="1" applyAlignment="1" applyProtection="1">
      <alignment horizontal="center"/>
      <protection locked="0"/>
    </xf>
    <xf numFmtId="165" fontId="1" fillId="0" borderId="11" xfId="6" applyNumberFormat="1" applyBorder="1" applyAlignment="1" applyProtection="1">
      <alignment horizontal="center"/>
      <protection locked="0"/>
    </xf>
    <xf numFmtId="0" fontId="0" fillId="0" borderId="11" xfId="6" quotePrefix="1" applyFont="1" applyBorder="1" applyProtection="1">
      <protection locked="0"/>
    </xf>
    <xf numFmtId="2" fontId="26" fillId="19" borderId="25" xfId="5" applyNumberFormat="1" applyFont="1" applyFill="1" applyBorder="1" applyAlignment="1" applyProtection="1">
      <alignment horizontal="center"/>
      <protection locked="0"/>
    </xf>
    <xf numFmtId="2" fontId="19" fillId="15" borderId="25" xfId="1" applyNumberFormat="1" applyFont="1" applyFill="1" applyBorder="1" applyAlignment="1" applyProtection="1">
      <alignment horizontal="center"/>
      <protection locked="0"/>
    </xf>
    <xf numFmtId="10"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protection locked="0"/>
    </xf>
    <xf numFmtId="165"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vertical="center"/>
      <protection locked="0"/>
    </xf>
    <xf numFmtId="4" fontId="0" fillId="0" borderId="25" xfId="0" applyNumberFormat="1" applyBorder="1" applyAlignment="1" applyProtection="1">
      <alignment horizontal="center" vertical="center"/>
      <protection locked="0"/>
    </xf>
    <xf numFmtId="0" fontId="0" fillId="0" borderId="25" xfId="0" applyBorder="1" applyProtection="1">
      <protection locked="0"/>
    </xf>
    <xf numFmtId="0" fontId="0" fillId="6" borderId="25" xfId="0" applyFill="1" applyBorder="1" applyAlignment="1" applyProtection="1">
      <alignment horizontal="center"/>
      <protection locked="0"/>
    </xf>
    <xf numFmtId="2" fontId="14" fillId="0" borderId="25" xfId="2" applyNumberFormat="1" applyFont="1" applyBorder="1" applyAlignment="1" applyProtection="1">
      <alignment horizontal="center"/>
      <protection locked="0"/>
    </xf>
    <xf numFmtId="2" fontId="14" fillId="0" borderId="25" xfId="2" applyNumberFormat="1" applyFont="1" applyFill="1" applyBorder="1" applyAlignment="1" applyProtection="1">
      <alignment horizontal="center"/>
      <protection locked="0"/>
    </xf>
    <xf numFmtId="164" fontId="0" fillId="0" borderId="0" xfId="0" applyNumberFormat="1" applyProtection="1">
      <protection locked="0"/>
    </xf>
    <xf numFmtId="174" fontId="0" fillId="0" borderId="0" xfId="0" applyNumberFormat="1" applyProtection="1">
      <protection locked="0"/>
    </xf>
    <xf numFmtId="0" fontId="0" fillId="6" borderId="25" xfId="0" applyFont="1" applyFill="1" applyBorder="1" applyProtection="1">
      <protection locked="0"/>
    </xf>
    <xf numFmtId="0" fontId="0" fillId="0" borderId="25" xfId="0" applyBorder="1" applyAlignment="1" applyProtection="1">
      <alignment vertical="center" wrapText="1"/>
      <protection locked="0"/>
    </xf>
    <xf numFmtId="174" fontId="0" fillId="0" borderId="25" xfId="14" applyNumberFormat="1" applyFont="1" applyBorder="1" applyAlignment="1" applyProtection="1">
      <alignment vertical="center" wrapText="1"/>
      <protection locked="0"/>
    </xf>
    <xf numFmtId="10" fontId="32" fillId="0" borderId="25" xfId="0" applyNumberFormat="1" applyFont="1" applyBorder="1" applyAlignment="1" applyProtection="1">
      <alignment horizontal="center" vertical="center" wrapText="1"/>
      <protection locked="0"/>
    </xf>
    <xf numFmtId="174" fontId="0" fillId="0" borderId="25" xfId="14" applyNumberFormat="1" applyFont="1" applyBorder="1" applyProtection="1">
      <protection locked="0"/>
    </xf>
    <xf numFmtId="0" fontId="3" fillId="32" borderId="25" xfId="0" applyFont="1" applyFill="1" applyBorder="1" applyAlignment="1" applyProtection="1">
      <alignment horizontal="center"/>
      <protection locked="0"/>
    </xf>
    <xf numFmtId="1" fontId="3" fillId="32" borderId="25" xfId="0" applyNumberFormat="1" applyFont="1" applyFill="1" applyBorder="1" applyAlignment="1" applyProtection="1">
      <alignment horizontal="center"/>
      <protection locked="0"/>
    </xf>
    <xf numFmtId="174" fontId="0" fillId="0" borderId="25" xfId="10" applyNumberFormat="1" applyFont="1" applyBorder="1" applyAlignment="1" applyProtection="1">
      <alignment horizontal="center"/>
      <protection locked="0"/>
    </xf>
    <xf numFmtId="2" fontId="14" fillId="0" borderId="11" xfId="2" applyNumberFormat="1" applyFont="1" applyBorder="1" applyAlignment="1" applyProtection="1">
      <alignment horizontal="center"/>
    </xf>
    <xf numFmtId="0" fontId="56" fillId="0" borderId="0" xfId="0" applyFont="1" applyAlignment="1" applyProtection="1"/>
    <xf numFmtId="2" fontId="56" fillId="0" borderId="0" xfId="0" applyNumberFormat="1" applyFont="1" applyAlignment="1" applyProtection="1">
      <alignment horizontal="center"/>
    </xf>
    <xf numFmtId="2" fontId="56" fillId="0" borderId="18" xfId="0" applyNumberFormat="1" applyFont="1" applyBorder="1" applyAlignment="1" applyProtection="1">
      <alignment horizontal="center"/>
    </xf>
    <xf numFmtId="0" fontId="56" fillId="0" borderId="11" xfId="0" applyFont="1" applyBorder="1" applyAlignment="1" applyProtection="1"/>
    <xf numFmtId="2" fontId="56" fillId="0" borderId="11" xfId="0" applyNumberFormat="1" applyFont="1" applyBorder="1" applyAlignment="1" applyProtection="1">
      <alignment horizontal="center"/>
    </xf>
    <xf numFmtId="0" fontId="56" fillId="19" borderId="0" xfId="0" applyFont="1" applyFill="1" applyAlignment="1" applyProtection="1"/>
    <xf numFmtId="2" fontId="56" fillId="19" borderId="0" xfId="0" applyNumberFormat="1" applyFont="1" applyFill="1" applyAlignment="1" applyProtection="1">
      <alignment horizontal="center"/>
    </xf>
    <xf numFmtId="2" fontId="56" fillId="19" borderId="18" xfId="0" applyNumberFormat="1" applyFont="1" applyFill="1" applyBorder="1" applyAlignment="1" applyProtection="1">
      <alignment horizontal="center"/>
    </xf>
    <xf numFmtId="0" fontId="34" fillId="4" borderId="1" xfId="1" applyFont="1" applyFill="1" applyBorder="1" applyAlignment="1" applyProtection="1">
      <alignment horizontal="center" vertical="center" wrapText="1"/>
    </xf>
    <xf numFmtId="0" fontId="1" fillId="0" borderId="11" xfId="6" applyFill="1" applyBorder="1" applyAlignment="1" applyProtection="1">
      <alignment horizontal="center"/>
    </xf>
    <xf numFmtId="0" fontId="61" fillId="33" borderId="13" xfId="1" applyFont="1" applyFill="1" applyBorder="1" applyAlignment="1" applyProtection="1">
      <alignment horizontal="left" vertical="center" wrapText="1"/>
    </xf>
    <xf numFmtId="0" fontId="61" fillId="33" borderId="13" xfId="1" applyFont="1" applyFill="1" applyBorder="1" applyAlignment="1" applyProtection="1">
      <alignment horizontal="center" vertical="center" wrapText="1"/>
    </xf>
    <xf numFmtId="0" fontId="61" fillId="33" borderId="14" xfId="1" applyFont="1" applyFill="1" applyBorder="1" applyAlignment="1" applyProtection="1">
      <alignment horizontal="center" vertical="center" wrapText="1"/>
    </xf>
    <xf numFmtId="170" fontId="0" fillId="24" borderId="25" xfId="0" applyNumberFormat="1" applyFill="1" applyBorder="1" applyAlignment="1" applyProtection="1">
      <alignment horizontal="center"/>
      <protection locked="0"/>
    </xf>
    <xf numFmtId="170" fontId="0" fillId="24" borderId="11" xfId="0" applyNumberFormat="1" applyFill="1" applyBorder="1" applyAlignment="1" applyProtection="1">
      <alignment horizontal="center"/>
      <protection locked="0"/>
    </xf>
    <xf numFmtId="170" fontId="0" fillId="24" borderId="1" xfId="0" applyNumberFormat="1" applyFill="1" applyBorder="1" applyAlignment="1" applyProtection="1">
      <alignment horizontal="center"/>
      <protection locked="0"/>
    </xf>
    <xf numFmtId="0" fontId="45" fillId="9" borderId="1" xfId="0" applyFont="1" applyFill="1" applyBorder="1" applyAlignment="1" applyProtection="1">
      <alignment horizontal="center" vertical="center" wrapText="1" readingOrder="1"/>
      <protection hidden="1"/>
    </xf>
    <xf numFmtId="0" fontId="45" fillId="24" borderId="1" xfId="0" applyFont="1" applyFill="1" applyBorder="1" applyAlignment="1" applyProtection="1">
      <alignment horizontal="left" vertical="center" wrapText="1" readingOrder="1"/>
      <protection hidden="1"/>
    </xf>
    <xf numFmtId="0" fontId="46" fillId="24" borderId="1" xfId="0" applyFont="1" applyFill="1" applyBorder="1" applyAlignment="1" applyProtection="1">
      <alignment horizontal="center" vertical="center" wrapText="1" readingOrder="1"/>
      <protection hidden="1"/>
    </xf>
    <xf numFmtId="9" fontId="46" fillId="24" borderId="1" xfId="0" applyNumberFormat="1" applyFont="1" applyFill="1" applyBorder="1" applyAlignment="1" applyProtection="1">
      <alignment horizontal="center" vertical="center" wrapText="1" readingOrder="1"/>
      <protection hidden="1"/>
    </xf>
    <xf numFmtId="2" fontId="46" fillId="24" borderId="1" xfId="0" applyNumberFormat="1" applyFont="1" applyFill="1" applyBorder="1" applyAlignment="1" applyProtection="1">
      <alignment horizontal="center" vertical="center" wrapText="1" readingOrder="1"/>
      <protection hidden="1"/>
    </xf>
    <xf numFmtId="1" fontId="45" fillId="0" borderId="1" xfId="0" applyNumberFormat="1" applyFont="1" applyFill="1" applyBorder="1" applyAlignment="1" applyProtection="1">
      <alignment horizontal="left" vertical="center" wrapText="1" readingOrder="1"/>
      <protection hidden="1"/>
    </xf>
    <xf numFmtId="0" fontId="47" fillId="24" borderId="1" xfId="0" applyFont="1" applyFill="1" applyBorder="1" applyAlignment="1" applyProtection="1">
      <alignment horizontal="left" vertical="center" wrapText="1" readingOrder="1"/>
      <protection hidden="1"/>
    </xf>
    <xf numFmtId="1" fontId="45" fillId="24" borderId="1" xfId="0" applyNumberFormat="1" applyFont="1" applyFill="1" applyBorder="1" applyAlignment="1" applyProtection="1">
      <alignment horizontal="left" vertical="center" wrapText="1" readingOrder="1"/>
      <protection hidden="1"/>
    </xf>
    <xf numFmtId="2" fontId="45" fillId="24" borderId="1" xfId="0" applyNumberFormat="1" applyFont="1" applyFill="1" applyBorder="1" applyAlignment="1" applyProtection="1">
      <alignment horizontal="left" vertical="center" wrapText="1" readingOrder="1"/>
      <protection hidden="1"/>
    </xf>
    <xf numFmtId="9" fontId="45" fillId="24" borderId="1" xfId="0" applyNumberFormat="1" applyFont="1" applyFill="1" applyBorder="1" applyAlignment="1" applyProtection="1">
      <alignment horizontal="left" vertical="center" wrapText="1" readingOrder="1"/>
      <protection hidden="1"/>
    </xf>
    <xf numFmtId="0" fontId="45" fillId="24" borderId="0" xfId="0" applyFont="1" applyFill="1" applyBorder="1" applyAlignment="1" applyProtection="1">
      <alignment horizontal="left" vertical="center" wrapText="1" readingOrder="1"/>
      <protection hidden="1"/>
    </xf>
    <xf numFmtId="0" fontId="46" fillId="24" borderId="0" xfId="0" applyFont="1" applyFill="1" applyBorder="1" applyAlignment="1" applyProtection="1">
      <alignment horizontal="center" vertical="center" wrapText="1" readingOrder="1"/>
      <protection hidden="1"/>
    </xf>
    <xf numFmtId="2" fontId="46" fillId="24" borderId="0" xfId="0" applyNumberFormat="1" applyFont="1" applyFill="1" applyBorder="1" applyAlignment="1" applyProtection="1">
      <alignment horizontal="center" vertical="center" wrapText="1" readingOrder="1"/>
      <protection hidden="1"/>
    </xf>
    <xf numFmtId="0" fontId="0" fillId="0" borderId="0" xfId="0" applyProtection="1">
      <protection hidden="1"/>
    </xf>
    <xf numFmtId="0" fontId="45" fillId="29" borderId="1" xfId="0" applyFont="1" applyFill="1" applyBorder="1" applyAlignment="1" applyProtection="1">
      <alignment horizontal="center" vertical="center" wrapText="1" readingOrder="1"/>
      <protection hidden="1"/>
    </xf>
    <xf numFmtId="0" fontId="46" fillId="0" borderId="1" xfId="0" applyFont="1" applyBorder="1" applyAlignment="1" applyProtection="1">
      <alignment horizontal="left" vertical="center" wrapText="1" readingOrder="1"/>
      <protection hidden="1"/>
    </xf>
    <xf numFmtId="0" fontId="46" fillId="0" borderId="1" xfId="0" applyFont="1" applyBorder="1" applyAlignment="1" applyProtection="1">
      <alignment horizontal="center" vertical="center" wrapText="1" readingOrder="1"/>
      <protection hidden="1"/>
    </xf>
    <xf numFmtId="9" fontId="46" fillId="0" borderId="1" xfId="0" applyNumberFormat="1" applyFont="1" applyBorder="1" applyAlignment="1" applyProtection="1">
      <alignment horizontal="center" vertical="center" wrapText="1" readingOrder="1"/>
      <protection hidden="1"/>
    </xf>
    <xf numFmtId="0" fontId="58" fillId="24" borderId="1" xfId="0" applyFont="1" applyFill="1" applyBorder="1" applyAlignment="1" applyProtection="1">
      <alignment horizontal="center" vertical="center" wrapText="1" readingOrder="1"/>
      <protection hidden="1"/>
    </xf>
    <xf numFmtId="1" fontId="58" fillId="0" borderId="1" xfId="0" applyNumberFormat="1" applyFont="1" applyFill="1" applyBorder="1" applyAlignment="1" applyProtection="1">
      <alignment horizontal="center" vertical="center" wrapText="1" readingOrder="1"/>
      <protection hidden="1"/>
    </xf>
    <xf numFmtId="0" fontId="51" fillId="0" borderId="1" xfId="0" applyFont="1" applyBorder="1" applyAlignment="1" applyProtection="1">
      <alignment horizontal="center" vertical="center" wrapText="1" readingOrder="1"/>
      <protection hidden="1"/>
    </xf>
    <xf numFmtId="2" fontId="58" fillId="24" borderId="1" xfId="0" applyNumberFormat="1" applyFont="1" applyFill="1" applyBorder="1" applyAlignment="1" applyProtection="1">
      <alignment horizontal="center" vertical="center" wrapText="1" readingOrder="1"/>
      <protection hidden="1"/>
    </xf>
    <xf numFmtId="9" fontId="58" fillId="24" borderId="1" xfId="0" applyNumberFormat="1" applyFont="1" applyFill="1" applyBorder="1" applyAlignment="1" applyProtection="1">
      <alignment horizontal="center" vertical="center" wrapText="1" readingOrder="1"/>
      <protection hidden="1"/>
    </xf>
    <xf numFmtId="10" fontId="58" fillId="24" borderId="1" xfId="0" applyNumberFormat="1" applyFont="1" applyFill="1" applyBorder="1" applyAlignment="1" applyProtection="1">
      <alignment horizontal="center" vertical="center" wrapText="1" readingOrder="1"/>
      <protection hidden="1"/>
    </xf>
    <xf numFmtId="10" fontId="58" fillId="0" borderId="1" xfId="0" applyNumberFormat="1" applyFont="1" applyFill="1" applyBorder="1" applyAlignment="1" applyProtection="1">
      <alignment horizontal="center" vertical="center" wrapText="1" readingOrder="1"/>
      <protection hidden="1"/>
    </xf>
    <xf numFmtId="0" fontId="44" fillId="0" borderId="1" xfId="0" applyFont="1" applyBorder="1" applyProtection="1">
      <protection hidden="1"/>
    </xf>
    <xf numFmtId="2" fontId="44" fillId="0" borderId="1" xfId="0" applyNumberFormat="1" applyFont="1" applyBorder="1" applyAlignment="1" applyProtection="1">
      <alignment horizontal="center"/>
      <protection hidden="1"/>
    </xf>
    <xf numFmtId="0" fontId="0" fillId="0" borderId="25" xfId="0" applyBorder="1" applyAlignment="1" applyProtection="1">
      <alignment horizontal="center"/>
      <protection locked="0"/>
    </xf>
    <xf numFmtId="165" fontId="0" fillId="24" borderId="25" xfId="0" applyNumberFormat="1" applyFill="1" applyBorder="1" applyAlignment="1" applyProtection="1">
      <alignment horizontal="center"/>
      <protection locked="0"/>
    </xf>
    <xf numFmtId="0" fontId="0" fillId="0" borderId="25" xfId="0" applyFont="1" applyFill="1" applyBorder="1" applyAlignment="1" applyProtection="1">
      <protection locked="0"/>
    </xf>
    <xf numFmtId="0" fontId="0" fillId="0" borderId="25" xfId="0" applyBorder="1"/>
    <xf numFmtId="175" fontId="0" fillId="0" borderId="25" xfId="0" applyNumberFormat="1" applyBorder="1"/>
    <xf numFmtId="2" fontId="1" fillId="11" borderId="25" xfId="6" applyNumberFormat="1" applyFill="1" applyBorder="1" applyAlignment="1" applyProtection="1">
      <alignment horizontal="center"/>
      <protection hidden="1"/>
    </xf>
    <xf numFmtId="0" fontId="0" fillId="0" borderId="1" xfId="6" applyFont="1" applyBorder="1" applyAlignment="1" applyProtection="1">
      <alignment horizontal="center"/>
      <protection locked="0"/>
    </xf>
    <xf numFmtId="0" fontId="0" fillId="0" borderId="11" xfId="6" applyFont="1" applyBorder="1" applyAlignment="1" applyProtection="1">
      <alignment horizontal="center"/>
      <protection locked="0"/>
    </xf>
    <xf numFmtId="0" fontId="1" fillId="0" borderId="0" xfId="6" applyAlignment="1" applyProtection="1">
      <alignment horizontal="right"/>
    </xf>
    <xf numFmtId="2" fontId="1" fillId="0" borderId="1" xfId="6" applyNumberFormat="1" applyBorder="1" applyAlignment="1" applyProtection="1">
      <alignment horizontal="right"/>
      <protection locked="0"/>
    </xf>
    <xf numFmtId="2" fontId="3" fillId="11" borderId="1" xfId="6" applyNumberFormat="1" applyFont="1" applyFill="1" applyBorder="1" applyAlignment="1" applyProtection="1">
      <alignment horizontal="right"/>
    </xf>
    <xf numFmtId="0" fontId="1" fillId="0" borderId="0" xfId="6" applyAlignment="1" applyProtection="1">
      <alignment horizontal="right"/>
      <protection locked="0"/>
    </xf>
    <xf numFmtId="0" fontId="3" fillId="11" borderId="1" xfId="6" applyFont="1" applyFill="1" applyBorder="1" applyAlignment="1" applyProtection="1">
      <alignment horizontal="right" vertical="center" wrapText="1"/>
    </xf>
    <xf numFmtId="0" fontId="1" fillId="11" borderId="1" xfId="6" applyFill="1" applyBorder="1" applyAlignment="1" applyProtection="1">
      <alignment horizontal="right"/>
    </xf>
    <xf numFmtId="40" fontId="63" fillId="38" borderId="29" xfId="0" applyNumberFormat="1" applyFont="1" applyFill="1" applyBorder="1" applyAlignment="1" applyProtection="1">
      <alignment horizontal="right" vertical="center"/>
    </xf>
    <xf numFmtId="0" fontId="63" fillId="38" borderId="29" xfId="0" applyFont="1" applyFill="1" applyBorder="1" applyAlignment="1" applyProtection="1">
      <alignment horizontal="right" vertical="center"/>
    </xf>
    <xf numFmtId="9" fontId="3" fillId="32" borderId="11" xfId="0" applyNumberFormat="1" applyFont="1" applyFill="1" applyBorder="1" applyAlignment="1" applyProtection="1">
      <alignment horizontal="center"/>
      <protection locked="0"/>
    </xf>
    <xf numFmtId="9" fontId="0" fillId="0" borderId="0" xfId="0" applyNumberFormat="1" applyProtection="1">
      <protection locked="0"/>
    </xf>
    <xf numFmtId="0" fontId="3" fillId="0" borderId="0" xfId="0" applyFont="1"/>
    <xf numFmtId="0" fontId="64" fillId="0" borderId="32" xfId="0" applyFont="1" applyBorder="1"/>
    <xf numFmtId="2" fontId="64" fillId="0" borderId="32" xfId="0" applyNumberFormat="1" applyFont="1" applyBorder="1"/>
    <xf numFmtId="0" fontId="1" fillId="0" borderId="11" xfId="6" applyFont="1" applyFill="1" applyBorder="1" applyAlignment="1" applyProtection="1">
      <alignment horizontal="center"/>
      <protection locked="0"/>
    </xf>
    <xf numFmtId="0" fontId="1" fillId="0" borderId="1" xfId="6" applyFont="1" applyFill="1" applyBorder="1" applyAlignment="1" applyProtection="1">
      <alignment horizontal="center"/>
      <protection locked="0"/>
    </xf>
    <xf numFmtId="165" fontId="64" fillId="0" borderId="32" xfId="0" applyNumberFormat="1" applyFont="1" applyBorder="1"/>
    <xf numFmtId="15" fontId="0" fillId="11" borderId="1" xfId="6" applyNumberFormat="1" applyFont="1" applyFill="1" applyBorder="1" applyAlignment="1" applyProtection="1">
      <alignment horizontal="center"/>
      <protection hidden="1"/>
    </xf>
    <xf numFmtId="0" fontId="0" fillId="0" borderId="1" xfId="6" applyFont="1" applyBorder="1" applyProtection="1">
      <protection locked="0"/>
    </xf>
    <xf numFmtId="0" fontId="0" fillId="37" borderId="1" xfId="6" applyFont="1" applyFill="1" applyBorder="1" applyAlignment="1" applyProtection="1">
      <alignment horizontal="left"/>
      <protection locked="0"/>
    </xf>
    <xf numFmtId="2" fontId="3" fillId="31" borderId="1" xfId="6" applyNumberFormat="1" applyFont="1" applyFill="1" applyBorder="1" applyAlignment="1" applyProtection="1">
      <alignment horizontal="center"/>
      <protection hidden="1"/>
    </xf>
    <xf numFmtId="0" fontId="1" fillId="0" borderId="25" xfId="6" applyFill="1" applyBorder="1" applyProtection="1">
      <protection locked="0"/>
    </xf>
    <xf numFmtId="0" fontId="1" fillId="0" borderId="11" xfId="6" applyFill="1" applyBorder="1" applyProtection="1">
      <protection locked="0"/>
    </xf>
    <xf numFmtId="0" fontId="1" fillId="0" borderId="1" xfId="6" applyFill="1" applyBorder="1" applyProtection="1">
      <protection locked="0"/>
    </xf>
    <xf numFmtId="0" fontId="63" fillId="38" borderId="33" xfId="0" applyFont="1" applyFill="1" applyBorder="1" applyAlignment="1" applyProtection="1">
      <alignment horizontal="right" vertical="center"/>
    </xf>
    <xf numFmtId="2" fontId="0" fillId="0" borderId="0" xfId="0" applyNumberFormat="1"/>
    <xf numFmtId="14" fontId="0" fillId="0" borderId="0" xfId="0" applyNumberFormat="1"/>
    <xf numFmtId="0" fontId="0" fillId="0" borderId="10" xfId="0" applyBorder="1"/>
    <xf numFmtId="0" fontId="0" fillId="0" borderId="18" xfId="0" applyBorder="1"/>
    <xf numFmtId="0" fontId="3" fillId="0" borderId="10" xfId="0" applyFont="1" applyBorder="1"/>
    <xf numFmtId="176" fontId="0" fillId="0" borderId="0" xfId="0" applyNumberFormat="1" applyBorder="1"/>
    <xf numFmtId="176" fontId="0" fillId="0" borderId="18" xfId="0" applyNumberFormat="1" applyBorder="1"/>
    <xf numFmtId="40" fontId="0" fillId="0" borderId="0" xfId="0" applyNumberFormat="1" applyBorder="1"/>
    <xf numFmtId="40" fontId="0" fillId="0" borderId="18" xfId="0" applyNumberFormat="1" applyBorder="1"/>
    <xf numFmtId="176" fontId="3" fillId="0" borderId="0" xfId="0" applyNumberFormat="1" applyFont="1" applyBorder="1"/>
    <xf numFmtId="176" fontId="3" fillId="0" borderId="18" xfId="0" applyNumberFormat="1" applyFont="1" applyBorder="1"/>
    <xf numFmtId="0" fontId="0" fillId="0" borderId="9" xfId="0" applyBorder="1"/>
    <xf numFmtId="0" fontId="0" fillId="0" borderId="5" xfId="0" applyBorder="1"/>
    <xf numFmtId="0" fontId="0" fillId="0" borderId="19" xfId="0" applyBorder="1"/>
    <xf numFmtId="0" fontId="3" fillId="0" borderId="25" xfId="0" applyFont="1" applyBorder="1"/>
    <xf numFmtId="167" fontId="19" fillId="0" borderId="1" xfId="1" applyNumberFormat="1" applyFont="1" applyFill="1" applyBorder="1" applyAlignment="1" applyProtection="1">
      <alignment horizontal="center"/>
      <protection locked="0"/>
    </xf>
    <xf numFmtId="0" fontId="3" fillId="0" borderId="0" xfId="0" applyFont="1" applyFill="1" applyBorder="1"/>
    <xf numFmtId="1" fontId="0" fillId="0" borderId="25" xfId="0" applyNumberFormat="1" applyBorder="1" applyAlignment="1" applyProtection="1">
      <alignment horizontal="center"/>
      <protection locked="0"/>
    </xf>
    <xf numFmtId="0" fontId="0" fillId="6" borderId="25" xfId="0" applyFill="1" applyBorder="1" applyAlignment="1" applyProtection="1">
      <alignment horizontal="center"/>
      <protection locked="0"/>
    </xf>
    <xf numFmtId="0" fontId="0" fillId="6" borderId="11" xfId="0" applyFont="1" applyFill="1" applyBorder="1" applyAlignment="1" applyProtection="1">
      <alignment horizontal="center"/>
      <protection locked="0"/>
    </xf>
    <xf numFmtId="0" fontId="0" fillId="0" borderId="25" xfId="0" applyBorder="1" applyAlignment="1" applyProtection="1">
      <alignment horizontal="center"/>
      <protection locked="0"/>
    </xf>
    <xf numFmtId="1" fontId="0" fillId="0" borderId="25" xfId="0" applyNumberFormat="1" applyBorder="1" applyAlignment="1" applyProtection="1">
      <alignment horizontal="center"/>
      <protection locked="0"/>
    </xf>
    <xf numFmtId="0" fontId="0" fillId="6" borderId="25" xfId="0" applyFill="1" applyBorder="1" applyAlignment="1" applyProtection="1">
      <alignment horizontal="center"/>
      <protection locked="0"/>
    </xf>
    <xf numFmtId="168" fontId="19" fillId="0" borderId="25" xfId="1" applyNumberFormat="1" applyFont="1" applyBorder="1" applyAlignment="1" applyProtection="1">
      <alignment horizontal="center"/>
      <protection locked="0"/>
    </xf>
    <xf numFmtId="168" fontId="19" fillId="11" borderId="25" xfId="1" applyNumberFormat="1" applyFont="1" applyFill="1" applyBorder="1" applyAlignment="1" applyProtection="1">
      <alignment horizontal="center"/>
    </xf>
    <xf numFmtId="168" fontId="28" fillId="11" borderId="25" xfId="1" applyNumberFormat="1" applyFont="1" applyFill="1" applyBorder="1" applyAlignment="1" applyProtection="1">
      <alignment horizontal="left"/>
    </xf>
    <xf numFmtId="167" fontId="28" fillId="18" borderId="25" xfId="1" applyNumberFormat="1" applyFont="1" applyFill="1" applyBorder="1" applyAlignment="1" applyProtection="1">
      <alignment horizontal="center"/>
    </xf>
    <xf numFmtId="0" fontId="19" fillId="18" borderId="25" xfId="1" applyFont="1" applyFill="1" applyBorder="1" applyAlignment="1" applyProtection="1">
      <alignment horizontal="center"/>
    </xf>
    <xf numFmtId="1" fontId="28" fillId="18" borderId="25" xfId="1" applyNumberFormat="1" applyFont="1" applyFill="1" applyBorder="1" applyAlignment="1" applyProtection="1">
      <alignment horizontal="center"/>
    </xf>
    <xf numFmtId="2" fontId="19" fillId="11" borderId="25" xfId="1" applyNumberFormat="1" applyFont="1" applyFill="1" applyBorder="1" applyAlignment="1" applyProtection="1">
      <alignment horizontal="center"/>
    </xf>
    <xf numFmtId="0" fontId="19" fillId="11" borderId="25" xfId="1" applyFont="1" applyFill="1" applyBorder="1" applyAlignment="1" applyProtection="1">
      <alignment horizontal="center"/>
    </xf>
    <xf numFmtId="0" fontId="19" fillId="11" borderId="25" xfId="1" quotePrefix="1" applyFont="1" applyFill="1" applyBorder="1" applyAlignment="1" applyProtection="1">
      <alignment horizontal="center"/>
    </xf>
    <xf numFmtId="9" fontId="19" fillId="11" borderId="25" xfId="4" applyFont="1" applyFill="1" applyBorder="1" applyAlignment="1" applyProtection="1">
      <alignment horizontal="center"/>
    </xf>
    <xf numFmtId="10" fontId="19" fillId="11" borderId="25" xfId="4" applyNumberFormat="1" applyFont="1" applyFill="1" applyBorder="1" applyAlignment="1" applyProtection="1">
      <alignment horizontal="center"/>
    </xf>
    <xf numFmtId="40" fontId="67" fillId="38" borderId="35" xfId="0" applyNumberFormat="1" applyFont="1" applyFill="1" applyBorder="1" applyAlignment="1" applyProtection="1">
      <alignment horizontal="right" vertical="center"/>
    </xf>
    <xf numFmtId="0" fontId="67" fillId="38" borderId="35" xfId="0" applyFont="1" applyFill="1" applyBorder="1" applyAlignment="1" applyProtection="1">
      <alignment horizontal="right" vertical="center"/>
    </xf>
    <xf numFmtId="0" fontId="0" fillId="0" borderId="0" xfId="0" applyAlignment="1" applyProtection="1">
      <alignment horizontal="center"/>
      <protection locked="0"/>
    </xf>
    <xf numFmtId="0" fontId="0" fillId="0" borderId="36" xfId="0" applyBorder="1" applyAlignment="1" applyProtection="1">
      <alignment horizontal="center"/>
      <protection locked="0"/>
    </xf>
    <xf numFmtId="0" fontId="0" fillId="23" borderId="1" xfId="0" applyFill="1" applyBorder="1" applyAlignment="1" applyProtection="1">
      <alignment horizontal="center"/>
      <protection locked="0"/>
    </xf>
    <xf numFmtId="0" fontId="0" fillId="0" borderId="0" xfId="0" applyBorder="1" applyAlignment="1" applyProtection="1">
      <alignment horizontal="left" vertical="center" wrapText="1"/>
      <protection locked="0"/>
    </xf>
    <xf numFmtId="0" fontId="0" fillId="0" borderId="0" xfId="0" applyBorder="1" applyAlignment="1" applyProtection="1">
      <alignment horizontal="left" vertical="center"/>
      <protection locked="0"/>
    </xf>
    <xf numFmtId="2" fontId="64" fillId="0" borderId="32" xfId="0" applyNumberFormat="1" applyFont="1" applyFill="1" applyBorder="1"/>
    <xf numFmtId="164" fontId="0" fillId="0" borderId="25" xfId="14" applyFont="1" applyFill="1" applyBorder="1" applyAlignment="1">
      <alignment horizontal="right"/>
    </xf>
    <xf numFmtId="2" fontId="1" fillId="0" borderId="11" xfId="6" applyNumberFormat="1" applyFill="1" applyBorder="1" applyAlignment="1" applyProtection="1">
      <alignment horizontal="right"/>
      <protection locked="0"/>
    </xf>
    <xf numFmtId="2" fontId="1" fillId="0" borderId="1" xfId="6" applyNumberFormat="1" applyFill="1" applyBorder="1" applyAlignment="1" applyProtection="1">
      <alignment horizontal="right"/>
      <protection locked="0"/>
    </xf>
    <xf numFmtId="174" fontId="0" fillId="0" borderId="0" xfId="14" applyNumberFormat="1" applyFont="1" applyProtection="1">
      <protection locked="0"/>
    </xf>
    <xf numFmtId="2" fontId="8" fillId="0" borderId="0" xfId="2" applyNumberFormat="1" applyFont="1" applyProtection="1">
      <protection locked="0"/>
    </xf>
    <xf numFmtId="174" fontId="0" fillId="0" borderId="0" xfId="14" applyNumberFormat="1" applyFont="1" applyFill="1" applyProtection="1">
      <protection locked="0"/>
    </xf>
    <xf numFmtId="0" fontId="0" fillId="6" borderId="25" xfId="0" applyFill="1" applyBorder="1" applyAlignment="1" applyProtection="1">
      <alignment horizontal="center"/>
      <protection locked="0"/>
    </xf>
    <xf numFmtId="0" fontId="0" fillId="0" borderId="11"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0" fontId="0" fillId="0" borderId="36" xfId="0" applyBorder="1" applyAlignment="1" applyProtection="1">
      <alignment horizontal="left" vertical="center" wrapText="1"/>
      <protection locked="0"/>
    </xf>
    <xf numFmtId="0" fontId="0" fillId="0" borderId="36" xfId="0" applyBorder="1" applyAlignment="1" applyProtection="1">
      <alignment horizontal="left" vertical="center"/>
      <protection locked="0"/>
    </xf>
    <xf numFmtId="0" fontId="6" fillId="33" borderId="11" xfId="1" applyFont="1" applyFill="1" applyBorder="1" applyAlignment="1" applyProtection="1">
      <alignment horizontal="center" vertical="center" textRotation="90"/>
    </xf>
    <xf numFmtId="0" fontId="6" fillId="2" borderId="11" xfId="1" applyFont="1" applyFill="1" applyBorder="1" applyAlignment="1" applyProtection="1">
      <alignment horizontal="center" vertical="center" textRotation="90"/>
    </xf>
    <xf numFmtId="0" fontId="2" fillId="2" borderId="11" xfId="0" applyFont="1" applyFill="1" applyBorder="1" applyAlignment="1" applyProtection="1">
      <alignment horizontal="center" vertical="center" textRotation="90"/>
    </xf>
    <xf numFmtId="0" fontId="2" fillId="2" borderId="25" xfId="0" applyFont="1" applyFill="1" applyBorder="1" applyAlignment="1" applyProtection="1">
      <alignment horizontal="center" vertical="center" textRotation="90"/>
    </xf>
    <xf numFmtId="0" fontId="2" fillId="33" borderId="11" xfId="0" applyFont="1" applyFill="1" applyBorder="1" applyAlignment="1" applyProtection="1">
      <alignment horizontal="center" vertical="center" textRotation="90"/>
    </xf>
    <xf numFmtId="0" fontId="2" fillId="33" borderId="25" xfId="0" applyFont="1" applyFill="1" applyBorder="1" applyAlignment="1" applyProtection="1">
      <alignment horizontal="center" vertical="center" textRotation="90"/>
    </xf>
    <xf numFmtId="0" fontId="6" fillId="2" borderId="7" xfId="1" applyFont="1" applyFill="1" applyBorder="1" applyAlignment="1" applyProtection="1">
      <alignment horizontal="center" vertical="center" textRotation="90"/>
    </xf>
    <xf numFmtId="0" fontId="6" fillId="2" borderId="8" xfId="1" applyFont="1" applyFill="1" applyBorder="1" applyAlignment="1" applyProtection="1">
      <alignment horizontal="center" vertical="center" textRotation="90"/>
    </xf>
    <xf numFmtId="0" fontId="6" fillId="2" borderId="6" xfId="1" applyFont="1" applyFill="1" applyBorder="1" applyAlignment="1" applyProtection="1">
      <alignment horizontal="center" vertical="center" textRotation="90"/>
    </xf>
    <xf numFmtId="0" fontId="6" fillId="33" borderId="7" xfId="1" applyFont="1" applyFill="1" applyBorder="1" applyAlignment="1" applyProtection="1">
      <alignment horizontal="center" vertical="center" textRotation="90"/>
    </xf>
    <xf numFmtId="0" fontId="6" fillId="33" borderId="8" xfId="1" applyFont="1" applyFill="1" applyBorder="1" applyAlignment="1" applyProtection="1">
      <alignment horizontal="center" vertical="center" textRotation="90"/>
    </xf>
    <xf numFmtId="0" fontId="6" fillId="33" borderId="6" xfId="1" applyFont="1" applyFill="1" applyBorder="1" applyAlignment="1" applyProtection="1">
      <alignment horizontal="center" vertical="center" textRotation="90"/>
    </xf>
    <xf numFmtId="0" fontId="35" fillId="6" borderId="12" xfId="1" applyFont="1" applyFill="1" applyBorder="1" applyAlignment="1" applyProtection="1">
      <alignment horizontal="left" vertical="center" wrapText="1"/>
      <protection locked="0"/>
    </xf>
    <xf numFmtId="0" fontId="35" fillId="6" borderId="13" xfId="1" applyFont="1" applyFill="1" applyBorder="1" applyAlignment="1" applyProtection="1">
      <alignment horizontal="left" vertical="center" wrapText="1"/>
      <protection locked="0"/>
    </xf>
    <xf numFmtId="0" fontId="35" fillId="6" borderId="14" xfId="1" applyFont="1" applyFill="1" applyBorder="1" applyAlignment="1" applyProtection="1">
      <alignment horizontal="left" vertical="center" wrapText="1"/>
      <protection locked="0"/>
    </xf>
    <xf numFmtId="0" fontId="34" fillId="23" borderId="1" xfId="1" applyFont="1" applyFill="1" applyBorder="1" applyAlignment="1" applyProtection="1">
      <alignment horizontal="center" vertical="center" wrapText="1"/>
    </xf>
    <xf numFmtId="0" fontId="4" fillId="0" borderId="1" xfId="1" applyFont="1" applyFill="1" applyBorder="1" applyAlignment="1" applyProtection="1">
      <alignment horizontal="left" vertical="center"/>
      <protection locked="0"/>
    </xf>
    <xf numFmtId="0" fontId="52" fillId="0" borderId="12" xfId="0" applyFont="1" applyBorder="1" applyAlignment="1" applyProtection="1">
      <alignment horizontal="left"/>
      <protection locked="0"/>
    </xf>
    <xf numFmtId="0" fontId="52" fillId="0" borderId="13" xfId="0" applyFont="1" applyBorder="1" applyAlignment="1" applyProtection="1">
      <alignment horizontal="left"/>
      <protection locked="0"/>
    </xf>
    <xf numFmtId="0" fontId="52" fillId="0" borderId="14" xfId="0" applyFont="1" applyBorder="1" applyAlignment="1" applyProtection="1">
      <alignment horizontal="left"/>
      <protection locked="0"/>
    </xf>
    <xf numFmtId="0" fontId="3" fillId="4" borderId="1" xfId="0" applyFont="1" applyFill="1" applyBorder="1" applyAlignment="1" applyProtection="1">
      <alignment horizontal="left" vertical="center" wrapText="1"/>
    </xf>
    <xf numFmtId="165" fontId="0" fillId="0" borderId="11" xfId="0" applyNumberFormat="1" applyBorder="1" applyAlignment="1" applyProtection="1">
      <alignment horizontal="left"/>
      <protection locked="0"/>
    </xf>
    <xf numFmtId="0" fontId="0" fillId="0" borderId="1" xfId="0" applyBorder="1" applyAlignment="1" applyProtection="1">
      <alignment horizontal="left"/>
      <protection locked="0"/>
    </xf>
    <xf numFmtId="0" fontId="6" fillId="3" borderId="11" xfId="1" applyFont="1" applyFill="1" applyBorder="1" applyAlignment="1" applyProtection="1">
      <alignment horizontal="left" vertical="center"/>
    </xf>
    <xf numFmtId="0" fontId="0" fillId="0" borderId="36" xfId="0" applyBorder="1" applyAlignment="1" applyProtection="1">
      <alignment horizontal="left"/>
      <protection locked="0"/>
    </xf>
    <xf numFmtId="0" fontId="0" fillId="0" borderId="12" xfId="0" applyBorder="1" applyAlignment="1" applyProtection="1">
      <alignment horizontal="left"/>
      <protection locked="0"/>
    </xf>
    <xf numFmtId="0" fontId="0" fillId="0" borderId="34" xfId="0" applyBorder="1" applyAlignment="1" applyProtection="1">
      <alignment horizontal="left"/>
      <protection locked="0"/>
    </xf>
    <xf numFmtId="0" fontId="0" fillId="0" borderId="14" xfId="0" applyBorder="1" applyAlignment="1" applyProtection="1">
      <alignment horizontal="left"/>
      <protection locked="0"/>
    </xf>
    <xf numFmtId="0" fontId="0" fillId="0" borderId="25" xfId="0" applyBorder="1" applyAlignment="1" applyProtection="1">
      <alignment horizontal="left"/>
      <protection locked="0"/>
    </xf>
    <xf numFmtId="0" fontId="34" fillId="4" borderId="12" xfId="1" applyFont="1" applyFill="1" applyBorder="1" applyAlignment="1" applyProtection="1">
      <alignment horizontal="center" vertical="center" wrapText="1"/>
    </xf>
    <xf numFmtId="0" fontId="34" fillId="4" borderId="13" xfId="1" applyFont="1" applyFill="1" applyBorder="1" applyAlignment="1" applyProtection="1">
      <alignment horizontal="center" vertical="center" wrapText="1"/>
    </xf>
    <xf numFmtId="0" fontId="34" fillId="4" borderId="14" xfId="1" applyFont="1" applyFill="1" applyBorder="1" applyAlignment="1" applyProtection="1">
      <alignment horizontal="center" vertical="center" wrapText="1"/>
    </xf>
    <xf numFmtId="0" fontId="6" fillId="3"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protection locked="0"/>
    </xf>
    <xf numFmtId="0" fontId="0" fillId="0" borderId="11" xfId="0" applyBorder="1" applyAlignment="1" applyProtection="1">
      <alignment horizontal="left"/>
      <protection locked="0"/>
    </xf>
    <xf numFmtId="0" fontId="0" fillId="0" borderId="11" xfId="0" quotePrefix="1" applyBorder="1" applyAlignment="1" applyProtection="1">
      <alignment horizontal="left"/>
      <protection locked="0"/>
    </xf>
    <xf numFmtId="0" fontId="21" fillId="4" borderId="12" xfId="1" applyFont="1" applyFill="1" applyBorder="1" applyAlignment="1" applyProtection="1">
      <alignment horizontal="center" vertical="center"/>
    </xf>
    <xf numFmtId="0" fontId="21" fillId="4" borderId="13" xfId="1" applyFont="1" applyFill="1" applyBorder="1" applyAlignment="1" applyProtection="1">
      <alignment horizontal="center" vertical="center"/>
    </xf>
    <xf numFmtId="0" fontId="21" fillId="4" borderId="14" xfId="1" applyFont="1" applyFill="1" applyBorder="1" applyAlignment="1" applyProtection="1">
      <alignment horizontal="center" vertical="center"/>
    </xf>
    <xf numFmtId="0" fontId="4" fillId="24" borderId="1" xfId="1" applyFont="1" applyFill="1" applyBorder="1" applyAlignment="1" applyProtection="1">
      <alignment horizontal="left" vertical="center"/>
      <protection locked="0"/>
    </xf>
    <xf numFmtId="0" fontId="3" fillId="4" borderId="11" xfId="0" applyFont="1" applyFill="1" applyBorder="1" applyAlignment="1" applyProtection="1">
      <alignment horizontal="left" vertical="center" wrapText="1"/>
    </xf>
    <xf numFmtId="0" fontId="0" fillId="0" borderId="11" xfId="0" applyFill="1" applyBorder="1" applyAlignment="1" applyProtection="1">
      <alignment horizontal="left" vertical="center" wrapText="1"/>
      <protection locked="0"/>
    </xf>
    <xf numFmtId="0" fontId="0" fillId="0" borderId="11" xfId="0" applyFill="1" applyBorder="1" applyAlignment="1" applyProtection="1">
      <alignment horizontal="left" vertical="center"/>
      <protection locked="0"/>
    </xf>
    <xf numFmtId="0" fontId="21" fillId="4" borderId="1" xfId="1" applyFont="1" applyFill="1" applyBorder="1" applyAlignment="1" applyProtection="1">
      <alignment horizontal="left"/>
    </xf>
    <xf numFmtId="0" fontId="35" fillId="0" borderId="30" xfId="1" applyFont="1" applyFill="1" applyBorder="1" applyAlignment="1" applyProtection="1">
      <alignment horizontal="left" vertical="top"/>
      <protection locked="0"/>
    </xf>
    <xf numFmtId="0" fontId="35" fillId="0" borderId="34" xfId="1" applyFont="1" applyFill="1" applyBorder="1" applyAlignment="1" applyProtection="1">
      <alignment horizontal="left" vertical="top"/>
      <protection locked="0"/>
    </xf>
    <xf numFmtId="0" fontId="35" fillId="0" borderId="31" xfId="1" applyFont="1" applyFill="1" applyBorder="1" applyAlignment="1" applyProtection="1">
      <alignment horizontal="left" vertical="top"/>
      <protection locked="0"/>
    </xf>
    <xf numFmtId="0" fontId="35" fillId="0" borderId="2" xfId="1" applyFont="1" applyFill="1" applyBorder="1" applyAlignment="1" applyProtection="1">
      <alignment horizontal="left" vertical="top"/>
      <protection locked="0"/>
    </xf>
    <xf numFmtId="0" fontId="35" fillId="0" borderId="3" xfId="1" applyFont="1" applyFill="1" applyBorder="1" applyAlignment="1" applyProtection="1">
      <alignment horizontal="left" vertical="top"/>
      <protection locked="0"/>
    </xf>
    <xf numFmtId="0" fontId="35" fillId="0" borderId="4" xfId="1" applyFont="1" applyFill="1" applyBorder="1" applyAlignment="1" applyProtection="1">
      <alignment horizontal="left" vertical="top"/>
      <protection locked="0"/>
    </xf>
    <xf numFmtId="0" fontId="0" fillId="0" borderId="25" xfId="0" applyBorder="1" applyAlignment="1" applyProtection="1">
      <alignment horizontal="left" vertical="center" wrapText="1"/>
      <protection locked="0"/>
    </xf>
    <xf numFmtId="0" fontId="0" fillId="0" borderId="25" xfId="0" applyBorder="1" applyAlignment="1" applyProtection="1">
      <alignment horizontal="left" vertical="center"/>
      <protection locked="0"/>
    </xf>
    <xf numFmtId="0" fontId="4" fillId="4" borderId="13" xfId="1" applyFont="1" applyFill="1" applyBorder="1" applyAlignment="1" applyProtection="1">
      <alignment horizontal="left" vertical="center" wrapText="1"/>
    </xf>
    <xf numFmtId="0" fontId="4" fillId="4" borderId="4" xfId="1" applyFont="1" applyFill="1" applyBorder="1" applyAlignment="1" applyProtection="1">
      <alignment horizontal="left" vertical="center" wrapText="1"/>
    </xf>
    <xf numFmtId="0" fontId="4" fillId="6" borderId="2" xfId="1" applyFont="1" applyFill="1" applyBorder="1" applyAlignment="1" applyProtection="1">
      <alignment horizontal="center" vertical="center" wrapText="1"/>
      <protection locked="0"/>
    </xf>
    <xf numFmtId="0" fontId="4" fillId="6" borderId="4" xfId="1" applyFont="1" applyFill="1" applyBorder="1" applyAlignment="1" applyProtection="1">
      <alignment horizontal="center" vertical="center" wrapText="1"/>
      <protection locked="0"/>
    </xf>
    <xf numFmtId="0" fontId="4" fillId="4" borderId="25" xfId="1" applyFont="1" applyFill="1" applyBorder="1" applyAlignment="1" applyProtection="1">
      <alignment horizontal="left" vertical="center" wrapText="1"/>
    </xf>
    <xf numFmtId="0" fontId="0" fillId="23" borderId="25" xfId="0" applyFill="1" applyBorder="1" applyAlignment="1" applyProtection="1">
      <alignment horizontal="left"/>
    </xf>
    <xf numFmtId="0" fontId="4" fillId="4" borderId="2" xfId="1" applyFont="1" applyFill="1" applyBorder="1" applyAlignment="1" applyProtection="1">
      <alignment horizontal="left" vertical="center" wrapText="1"/>
    </xf>
    <xf numFmtId="0" fontId="4" fillId="4" borderId="3" xfId="1" applyFont="1" applyFill="1" applyBorder="1" applyAlignment="1" applyProtection="1">
      <alignment horizontal="left" vertical="center" wrapText="1"/>
    </xf>
    <xf numFmtId="0" fontId="0" fillId="6" borderId="12"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4" fillId="0" borderId="12" xfId="1" applyFont="1" applyFill="1" applyBorder="1" applyAlignment="1" applyProtection="1">
      <alignment horizontal="left" vertical="center" wrapText="1"/>
      <protection locked="0"/>
    </xf>
    <xf numFmtId="0" fontId="4" fillId="0" borderId="13" xfId="1" applyFont="1" applyFill="1" applyBorder="1" applyAlignment="1" applyProtection="1">
      <alignment horizontal="left" vertical="center" wrapText="1"/>
      <protection locked="0"/>
    </xf>
    <xf numFmtId="0" fontId="4" fillId="0" borderId="14" xfId="1" applyFont="1" applyFill="1" applyBorder="1" applyAlignment="1" applyProtection="1">
      <alignment horizontal="left" vertical="center" wrapText="1"/>
      <protection locked="0"/>
    </xf>
    <xf numFmtId="0" fontId="0" fillId="6" borderId="25" xfId="0" applyFill="1" applyBorder="1" applyAlignment="1" applyProtection="1">
      <alignment horizontal="left"/>
      <protection locked="0"/>
    </xf>
    <xf numFmtId="0" fontId="4" fillId="6" borderId="25" xfId="1" applyFont="1" applyFill="1" applyBorder="1" applyAlignment="1" applyProtection="1">
      <alignment horizontal="center" vertical="center" wrapText="1"/>
      <protection locked="0"/>
    </xf>
    <xf numFmtId="1" fontId="0" fillId="23" borderId="25" xfId="0" applyNumberFormat="1" applyFill="1" applyBorder="1" applyAlignment="1" applyProtection="1">
      <alignment horizontal="left"/>
    </xf>
    <xf numFmtId="0" fontId="4" fillId="23" borderId="25" xfId="1" applyFont="1" applyFill="1" applyBorder="1" applyAlignment="1" applyProtection="1">
      <alignment horizontal="center" vertical="center" wrapText="1"/>
    </xf>
    <xf numFmtId="0" fontId="61" fillId="33" borderId="14" xfId="1" applyFont="1" applyFill="1" applyBorder="1" applyAlignment="1" applyProtection="1">
      <alignment horizontal="left" vertical="center" wrapText="1"/>
    </xf>
    <xf numFmtId="0" fontId="61" fillId="33" borderId="11" xfId="1" applyFont="1" applyFill="1" applyBorder="1" applyAlignment="1" applyProtection="1">
      <alignment horizontal="left" vertical="center" wrapText="1"/>
    </xf>
    <xf numFmtId="10" fontId="4" fillId="23" borderId="2" xfId="1" applyNumberFormat="1" applyFont="1" applyFill="1" applyBorder="1" applyAlignment="1" applyProtection="1">
      <alignment horizontal="center" vertical="center" wrapText="1"/>
    </xf>
    <xf numFmtId="10" fontId="4" fillId="23" borderId="4" xfId="1" applyNumberFormat="1" applyFont="1" applyFill="1" applyBorder="1" applyAlignment="1" applyProtection="1">
      <alignment horizontal="center" vertical="center" wrapText="1"/>
    </xf>
    <xf numFmtId="0" fontId="0" fillId="23" borderId="25" xfId="0" applyFill="1" applyBorder="1" applyAlignment="1" applyProtection="1">
      <alignment horizontal="center"/>
    </xf>
    <xf numFmtId="9" fontId="4" fillId="23" borderId="25" xfId="7" applyFont="1" applyFill="1" applyBorder="1" applyAlignment="1" applyProtection="1">
      <alignment horizontal="center" vertical="center" wrapText="1"/>
    </xf>
    <xf numFmtId="0" fontId="0" fillId="0" borderId="2" xfId="0" applyFill="1" applyBorder="1" applyAlignment="1" applyProtection="1">
      <alignment horizontal="left"/>
      <protection locked="0"/>
    </xf>
    <xf numFmtId="0" fontId="0" fillId="0" borderId="3" xfId="0" applyFill="1" applyBorder="1" applyAlignment="1" applyProtection="1">
      <alignment horizontal="left"/>
      <protection locked="0"/>
    </xf>
    <xf numFmtId="0" fontId="0" fillId="0" borderId="4" xfId="0" applyFill="1" applyBorder="1" applyAlignment="1" applyProtection="1">
      <alignment horizontal="left"/>
      <protection locked="0"/>
    </xf>
    <xf numFmtId="0" fontId="4" fillId="26" borderId="2" xfId="1" applyFont="1" applyFill="1" applyBorder="1" applyAlignment="1" applyProtection="1">
      <alignment horizontal="left" vertical="center" wrapText="1"/>
    </xf>
    <xf numFmtId="0" fontId="4" fillId="26" borderId="3" xfId="1" applyFont="1" applyFill="1" applyBorder="1" applyAlignment="1" applyProtection="1">
      <alignment horizontal="left" vertical="center" wrapText="1"/>
    </xf>
    <xf numFmtId="0" fontId="4" fillId="26" borderId="4" xfId="1" applyFont="1" applyFill="1" applyBorder="1" applyAlignment="1" applyProtection="1">
      <alignment horizontal="left" vertical="center" wrapText="1"/>
    </xf>
    <xf numFmtId="0" fontId="0" fillId="0" borderId="32" xfId="0" applyBorder="1" applyAlignment="1" applyProtection="1">
      <alignment horizontal="left" vertical="center" wrapText="1"/>
      <protection locked="0"/>
    </xf>
    <xf numFmtId="0" fontId="0" fillId="0" borderId="32" xfId="0" applyBorder="1" applyAlignment="1" applyProtection="1">
      <alignment horizontal="left" vertical="center"/>
      <protection locked="0"/>
    </xf>
    <xf numFmtId="0" fontId="4" fillId="24" borderId="11" xfId="1" applyFont="1" applyFill="1" applyBorder="1" applyAlignment="1" applyProtection="1">
      <alignment horizontal="left" vertical="center"/>
      <protection locked="0"/>
    </xf>
    <xf numFmtId="0" fontId="5" fillId="2" borderId="1" xfId="1" applyFont="1" applyFill="1" applyBorder="1" applyAlignment="1" applyProtection="1">
      <alignment horizontal="center" vertical="center"/>
    </xf>
    <xf numFmtId="0" fontId="0" fillId="6" borderId="11" xfId="0" applyFill="1" applyBorder="1" applyAlignment="1" applyProtection="1">
      <alignment horizontal="left"/>
      <protection locked="0"/>
    </xf>
    <xf numFmtId="0" fontId="4" fillId="4" borderId="1" xfId="1" applyFont="1" applyFill="1" applyBorder="1" applyAlignment="1" applyProtection="1">
      <alignment horizontal="left"/>
    </xf>
    <xf numFmtId="0" fontId="4" fillId="4" borderId="1" xfId="1" applyFont="1" applyFill="1" applyBorder="1" applyAlignment="1" applyProtection="1"/>
    <xf numFmtId="10" fontId="4" fillId="0" borderId="11" xfId="1" applyNumberFormat="1" applyFont="1" applyFill="1" applyBorder="1" applyAlignment="1" applyProtection="1">
      <alignment horizontal="left"/>
      <protection locked="0"/>
    </xf>
    <xf numFmtId="170" fontId="4" fillId="23" borderId="1" xfId="1" applyNumberFormat="1" applyFont="1" applyFill="1" applyBorder="1" applyAlignment="1" applyProtection="1">
      <alignment horizontal="left"/>
    </xf>
    <xf numFmtId="170" fontId="21" fillId="23" borderId="1" xfId="1" applyNumberFormat="1" applyFont="1" applyFill="1" applyBorder="1" applyAlignment="1" applyProtection="1">
      <alignment horizontal="left"/>
    </xf>
    <xf numFmtId="0" fontId="43" fillId="0" borderId="25" xfId="1" applyNumberFormat="1" applyFont="1" applyFill="1" applyBorder="1" applyAlignment="1" applyProtection="1">
      <alignment horizontal="center" wrapText="1"/>
      <protection locked="0"/>
    </xf>
    <xf numFmtId="0" fontId="4" fillId="6" borderId="11" xfId="1" applyFont="1" applyFill="1" applyBorder="1" applyAlignment="1" applyProtection="1">
      <alignment horizontal="left"/>
      <protection locked="0"/>
    </xf>
    <xf numFmtId="0" fontId="4" fillId="4" borderId="1" xfId="1" applyFont="1" applyFill="1" applyBorder="1" applyAlignment="1" applyProtection="1">
      <alignment horizontal="left" wrapText="1"/>
    </xf>
    <xf numFmtId="170" fontId="4" fillId="0" borderId="11" xfId="1" quotePrefix="1" applyNumberFormat="1" applyFont="1" applyFill="1" applyBorder="1" applyAlignment="1" applyProtection="1">
      <alignment horizontal="left"/>
      <protection locked="0"/>
    </xf>
    <xf numFmtId="170" fontId="4" fillId="0" borderId="11" xfId="1" applyNumberFormat="1" applyFont="1" applyFill="1" applyBorder="1" applyAlignment="1" applyProtection="1">
      <alignment horizontal="left"/>
      <protection locked="0"/>
    </xf>
    <xf numFmtId="170" fontId="4" fillId="0" borderId="25" xfId="1" applyNumberFormat="1" applyFont="1" applyFill="1" applyBorder="1" applyAlignment="1" applyProtection="1">
      <alignment horizontal="left"/>
      <protection locked="0"/>
    </xf>
    <xf numFmtId="171" fontId="4" fillId="6" borderId="25" xfId="1" applyNumberFormat="1" applyFont="1" applyFill="1" applyBorder="1" applyAlignment="1" applyProtection="1">
      <alignment horizontal="left"/>
      <protection locked="0"/>
    </xf>
    <xf numFmtId="171" fontId="4" fillId="6" borderId="11" xfId="1" applyNumberFormat="1" applyFont="1" applyFill="1" applyBorder="1" applyAlignment="1" applyProtection="1">
      <alignment horizontal="left"/>
      <protection locked="0"/>
    </xf>
    <xf numFmtId="171" fontId="4" fillId="6" borderId="12" xfId="1" applyNumberFormat="1" applyFont="1" applyFill="1" applyBorder="1" applyAlignment="1" applyProtection="1">
      <alignment horizontal="center"/>
      <protection locked="0"/>
    </xf>
    <xf numFmtId="171" fontId="4" fillId="6" borderId="14" xfId="1" applyNumberFormat="1" applyFont="1" applyFill="1" applyBorder="1" applyAlignment="1" applyProtection="1">
      <alignment horizontal="center"/>
      <protection locked="0"/>
    </xf>
    <xf numFmtId="0" fontId="4" fillId="4" borderId="12" xfId="1" applyFont="1" applyFill="1" applyBorder="1" applyAlignment="1" applyProtection="1">
      <alignment horizontal="left"/>
    </xf>
    <xf numFmtId="0" fontId="4" fillId="4" borderId="14" xfId="1" applyFont="1" applyFill="1" applyBorder="1" applyAlignment="1" applyProtection="1">
      <alignment horizontal="left"/>
    </xf>
    <xf numFmtId="10" fontId="35" fillId="23" borderId="12" xfId="1" applyNumberFormat="1" applyFont="1" applyFill="1" applyBorder="1" applyAlignment="1" applyProtection="1">
      <alignment horizontal="left"/>
      <protection locked="0"/>
    </xf>
    <xf numFmtId="10" fontId="35" fillId="23" borderId="14" xfId="1" applyNumberFormat="1" applyFont="1" applyFill="1" applyBorder="1" applyAlignment="1" applyProtection="1">
      <alignment horizontal="left"/>
      <protection locked="0"/>
    </xf>
    <xf numFmtId="0" fontId="4" fillId="0" borderId="25" xfId="1" applyFont="1" applyBorder="1" applyAlignment="1" applyProtection="1">
      <alignment horizontal="left"/>
      <protection locked="0"/>
    </xf>
    <xf numFmtId="172" fontId="4" fillId="23" borderId="1" xfId="1" applyNumberFormat="1" applyFont="1" applyFill="1" applyBorder="1" applyAlignment="1" applyProtection="1">
      <alignment horizontal="left"/>
    </xf>
    <xf numFmtId="0" fontId="0" fillId="0" borderId="11" xfId="0" applyNumberFormat="1" applyBorder="1" applyAlignment="1" applyProtection="1">
      <alignment horizontal="left"/>
      <protection locked="0"/>
    </xf>
    <xf numFmtId="172" fontId="21" fillId="23" borderId="1" xfId="1" applyNumberFormat="1" applyFont="1" applyFill="1" applyBorder="1" applyAlignment="1" applyProtection="1">
      <alignment horizontal="left"/>
    </xf>
    <xf numFmtId="170" fontId="4" fillId="23" borderId="1" xfId="1" applyNumberFormat="1" applyFont="1" applyFill="1" applyBorder="1" applyAlignment="1" applyProtection="1">
      <alignment horizontal="left"/>
      <protection locked="0"/>
    </xf>
    <xf numFmtId="171" fontId="4" fillId="0" borderId="25" xfId="1" applyNumberFormat="1" applyFont="1" applyBorder="1" applyAlignment="1" applyProtection="1">
      <alignment horizontal="left"/>
      <protection locked="0"/>
    </xf>
    <xf numFmtId="0" fontId="34" fillId="4" borderId="1" xfId="1" applyFont="1" applyFill="1" applyBorder="1" applyAlignment="1" applyProtection="1">
      <alignment horizontal="left" vertical="center" wrapText="1"/>
    </xf>
    <xf numFmtId="0" fontId="34" fillId="4" borderId="1" xfId="1" applyFont="1" applyFill="1" applyBorder="1" applyAlignment="1" applyProtection="1">
      <alignment horizontal="center" vertical="center" wrapText="1"/>
    </xf>
    <xf numFmtId="0" fontId="34" fillId="5" borderId="25" xfId="1" applyFont="1" applyFill="1" applyBorder="1" applyAlignment="1" applyProtection="1">
      <alignment horizontal="left" vertical="top" wrapText="1"/>
      <protection locked="0"/>
    </xf>
    <xf numFmtId="0" fontId="34" fillId="5" borderId="1" xfId="1" applyFont="1" applyFill="1" applyBorder="1" applyAlignment="1" applyProtection="1">
      <alignment horizontal="left" vertical="top" wrapText="1"/>
      <protection locked="0"/>
    </xf>
    <xf numFmtId="0" fontId="34" fillId="23" borderId="1" xfId="1" applyFont="1" applyFill="1" applyBorder="1" applyAlignment="1" applyProtection="1">
      <alignment horizontal="left" vertical="center" wrapText="1"/>
    </xf>
    <xf numFmtId="0" fontId="35" fillId="5" borderId="25" xfId="1" applyFont="1" applyFill="1" applyBorder="1" applyAlignment="1" applyProtection="1">
      <alignment horizontal="center" vertical="top" wrapText="1"/>
      <protection locked="0"/>
    </xf>
    <xf numFmtId="0" fontId="35" fillId="0" borderId="1" xfId="1" applyFont="1" applyFill="1" applyBorder="1" applyAlignment="1" applyProtection="1">
      <alignment horizontal="left" vertical="center" wrapText="1"/>
      <protection locked="0"/>
    </xf>
    <xf numFmtId="0" fontId="35" fillId="0" borderId="12" xfId="1" applyFont="1" applyFill="1" applyBorder="1" applyAlignment="1" applyProtection="1">
      <alignment horizontal="left" vertical="center" wrapText="1"/>
      <protection locked="0"/>
    </xf>
    <xf numFmtId="0" fontId="35" fillId="0" borderId="13" xfId="1" applyFont="1" applyFill="1" applyBorder="1" applyAlignment="1" applyProtection="1">
      <alignment horizontal="left" vertical="center" wrapText="1"/>
      <protection locked="0"/>
    </xf>
    <xf numFmtId="0" fontId="35" fillId="0" borderId="14" xfId="1" applyFont="1" applyFill="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25" xfId="0" applyBorder="1" applyAlignment="1" applyProtection="1">
      <alignment horizontal="left" wrapText="1"/>
      <protection locked="0"/>
    </xf>
    <xf numFmtId="10" fontId="4" fillId="0" borderId="25" xfId="7" applyNumberFormat="1" applyFont="1" applyFill="1" applyBorder="1" applyAlignment="1" applyProtection="1">
      <alignment horizontal="center" vertical="center" wrapText="1"/>
      <protection locked="0"/>
    </xf>
    <xf numFmtId="0" fontId="4" fillId="26" borderId="2" xfId="1" applyFont="1" applyFill="1" applyBorder="1" applyAlignment="1" applyProtection="1">
      <alignment horizontal="center" vertical="center" wrapText="1"/>
    </xf>
    <xf numFmtId="0" fontId="4" fillId="26" borderId="3" xfId="1" applyFont="1" applyFill="1" applyBorder="1" applyAlignment="1" applyProtection="1">
      <alignment horizontal="center" vertical="center" wrapText="1"/>
    </xf>
    <xf numFmtId="0" fontId="4" fillId="26" borderId="4" xfId="1" applyFont="1" applyFill="1" applyBorder="1" applyAlignment="1" applyProtection="1">
      <alignment horizontal="center" vertical="center" wrapText="1"/>
    </xf>
    <xf numFmtId="0" fontId="0" fillId="26" borderId="2" xfId="0" applyFill="1" applyBorder="1" applyAlignment="1" applyProtection="1">
      <alignment horizontal="center"/>
    </xf>
    <xf numFmtId="0" fontId="0" fillId="26" borderId="4" xfId="0" applyFill="1" applyBorder="1" applyAlignment="1" applyProtection="1">
      <alignment horizontal="center"/>
    </xf>
    <xf numFmtId="0" fontId="35" fillId="5" borderId="1" xfId="1" applyFont="1" applyFill="1" applyBorder="1" applyAlignment="1" applyProtection="1">
      <alignment horizontal="center" vertical="top" wrapText="1"/>
      <protection locked="0"/>
    </xf>
    <xf numFmtId="0" fontId="0" fillId="6" borderId="25" xfId="0" applyFill="1" applyBorder="1" applyAlignment="1" applyProtection="1">
      <alignment horizontal="center"/>
      <protection locked="0"/>
    </xf>
    <xf numFmtId="170" fontId="0" fillId="24" borderId="25" xfId="0" applyNumberFormat="1" applyFill="1" applyBorder="1" applyAlignment="1" applyProtection="1">
      <alignment horizontal="center"/>
    </xf>
    <xf numFmtId="9" fontId="4" fillId="6" borderId="25" xfId="7" applyFont="1" applyFill="1" applyBorder="1" applyAlignment="1" applyProtection="1">
      <alignment horizontal="center" vertical="center" wrapText="1"/>
    </xf>
    <xf numFmtId="170" fontId="0" fillId="0" borderId="25" xfId="0" applyNumberFormat="1" applyFill="1" applyBorder="1" applyAlignment="1" applyProtection="1">
      <alignment horizontal="center"/>
      <protection locked="0"/>
    </xf>
    <xf numFmtId="0" fontId="4" fillId="4" borderId="25" xfId="1" applyFont="1" applyFill="1" applyBorder="1" applyAlignment="1" applyProtection="1">
      <alignment horizontal="center" vertical="center" wrapText="1"/>
    </xf>
    <xf numFmtId="49" fontId="4" fillId="0" borderId="11" xfId="1" applyNumberFormat="1" applyFont="1" applyFill="1" applyBorder="1" applyAlignment="1" applyProtection="1">
      <alignment horizontal="left"/>
      <protection locked="0"/>
    </xf>
    <xf numFmtId="0" fontId="61" fillId="33" borderId="11" xfId="1" applyFont="1" applyFill="1" applyBorder="1" applyAlignment="1" applyProtection="1">
      <alignment horizontal="center" vertical="center" wrapText="1"/>
    </xf>
    <xf numFmtId="0" fontId="29" fillId="0" borderId="5" xfId="0" applyFont="1" applyBorder="1" applyAlignment="1" applyProtection="1">
      <alignment horizontal="left"/>
    </xf>
    <xf numFmtId="0" fontId="62" fillId="6" borderId="25" xfId="0" applyFont="1" applyFill="1" applyBorder="1" applyAlignment="1" applyProtection="1">
      <alignment horizontal="left"/>
      <protection locked="0"/>
    </xf>
    <xf numFmtId="0" fontId="4" fillId="4" borderId="11" xfId="1" applyFont="1" applyFill="1" applyBorder="1" applyAlignment="1" applyProtection="1">
      <alignment vertical="center" wrapText="1"/>
    </xf>
    <xf numFmtId="0" fontId="4" fillId="4" borderId="15" xfId="1" applyFont="1" applyFill="1" applyBorder="1" applyAlignment="1" applyProtection="1">
      <alignment horizontal="left" vertical="center" wrapText="1"/>
    </xf>
    <xf numFmtId="0" fontId="4" fillId="4" borderId="17" xfId="1" applyFont="1" applyFill="1" applyBorder="1" applyAlignment="1" applyProtection="1">
      <alignment horizontal="left" vertical="center" wrapText="1"/>
    </xf>
    <xf numFmtId="0" fontId="4" fillId="4" borderId="10" xfId="1" applyFont="1" applyFill="1" applyBorder="1" applyAlignment="1" applyProtection="1">
      <alignment horizontal="left" vertical="center" wrapText="1"/>
    </xf>
    <xf numFmtId="0" fontId="4" fillId="4" borderId="18" xfId="1" applyFont="1" applyFill="1" applyBorder="1" applyAlignment="1" applyProtection="1">
      <alignment horizontal="left" vertical="center" wrapText="1"/>
    </xf>
    <xf numFmtId="0" fontId="4" fillId="0" borderId="26" xfId="1" applyFont="1" applyFill="1" applyBorder="1" applyAlignment="1" applyProtection="1">
      <alignment horizontal="left" vertical="center" wrapText="1"/>
      <protection locked="0"/>
    </xf>
    <xf numFmtId="0" fontId="4" fillId="0" borderId="27" xfId="1" applyFont="1" applyFill="1" applyBorder="1" applyAlignment="1" applyProtection="1">
      <alignment horizontal="left" vertical="center" wrapText="1"/>
      <protection locked="0"/>
    </xf>
    <xf numFmtId="0" fontId="4" fillId="0" borderId="28" xfId="1" applyFont="1" applyFill="1" applyBorder="1" applyAlignment="1" applyProtection="1">
      <alignment horizontal="left" vertical="center" wrapText="1"/>
      <protection locked="0"/>
    </xf>
    <xf numFmtId="0" fontId="4" fillId="0" borderId="10" xfId="1" applyFont="1" applyFill="1" applyBorder="1" applyAlignment="1" applyProtection="1">
      <alignment horizontal="left" vertical="center" wrapText="1"/>
      <protection locked="0"/>
    </xf>
    <xf numFmtId="0" fontId="4" fillId="0" borderId="0" xfId="1" applyFont="1" applyFill="1" applyBorder="1" applyAlignment="1" applyProtection="1">
      <alignment horizontal="left" vertical="center" wrapText="1"/>
      <protection locked="0"/>
    </xf>
    <xf numFmtId="0" fontId="4" fillId="0" borderId="18" xfId="1" applyFont="1" applyFill="1" applyBorder="1" applyAlignment="1" applyProtection="1">
      <alignment horizontal="left" vertical="center" wrapText="1"/>
      <protection locked="0"/>
    </xf>
    <xf numFmtId="169" fontId="0" fillId="0" borderId="11" xfId="0" applyNumberFormat="1" applyBorder="1" applyAlignment="1" applyProtection="1">
      <alignment horizontal="left"/>
      <protection locked="0"/>
    </xf>
    <xf numFmtId="0" fontId="4" fillId="4" borderId="12" xfId="1" applyFont="1" applyFill="1" applyBorder="1" applyAlignment="1" applyProtection="1">
      <alignment horizontal="left" wrapText="1"/>
    </xf>
    <xf numFmtId="0" fontId="4" fillId="4" borderId="14" xfId="1" applyFont="1" applyFill="1" applyBorder="1" applyAlignment="1" applyProtection="1">
      <alignment horizontal="left" wrapText="1"/>
    </xf>
    <xf numFmtId="165" fontId="0" fillId="0" borderId="25" xfId="0" applyNumberFormat="1" applyBorder="1" applyAlignment="1" applyProtection="1">
      <alignment horizontal="left"/>
      <protection locked="0"/>
    </xf>
    <xf numFmtId="10" fontId="4" fillId="6" borderId="12" xfId="1" applyNumberFormat="1" applyFont="1" applyFill="1" applyBorder="1" applyAlignment="1" applyProtection="1">
      <alignment horizontal="center"/>
      <protection locked="0"/>
    </xf>
    <xf numFmtId="10" fontId="4" fillId="6" borderId="14" xfId="1" applyNumberFormat="1" applyFont="1" applyFill="1" applyBorder="1" applyAlignment="1" applyProtection="1">
      <alignment horizontal="center"/>
      <protection locked="0"/>
    </xf>
    <xf numFmtId="170" fontId="4" fillId="23" borderId="12" xfId="1" applyNumberFormat="1" applyFont="1" applyFill="1" applyBorder="1" applyAlignment="1" applyProtection="1">
      <alignment horizontal="left"/>
    </xf>
    <xf numFmtId="170" fontId="4" fillId="23" borderId="14" xfId="1" applyNumberFormat="1" applyFont="1" applyFill="1" applyBorder="1" applyAlignment="1" applyProtection="1">
      <alignment horizontal="left"/>
    </xf>
    <xf numFmtId="2" fontId="4" fillId="23" borderId="12" xfId="1" applyNumberFormat="1" applyFont="1" applyFill="1" applyBorder="1" applyAlignment="1" applyProtection="1">
      <alignment horizontal="left"/>
    </xf>
    <xf numFmtId="2" fontId="4" fillId="23" borderId="14" xfId="1" applyNumberFormat="1" applyFont="1" applyFill="1" applyBorder="1" applyAlignment="1" applyProtection="1">
      <alignment horizontal="left"/>
    </xf>
    <xf numFmtId="0" fontId="0" fillId="0" borderId="25" xfId="0" applyBorder="1" applyAlignment="1" applyProtection="1">
      <alignment horizontal="center"/>
      <protection locked="0"/>
    </xf>
    <xf numFmtId="1" fontId="0" fillId="0" borderId="25" xfId="0" quotePrefix="1" applyNumberFormat="1" applyBorder="1" applyAlignment="1" applyProtection="1">
      <alignment horizontal="center"/>
      <protection locked="0"/>
    </xf>
    <xf numFmtId="1" fontId="0" fillId="0" borderId="25" xfId="0" applyNumberFormat="1" applyBorder="1" applyAlignment="1" applyProtection="1">
      <alignment horizontal="center"/>
      <protection locked="0"/>
    </xf>
    <xf numFmtId="0" fontId="7" fillId="3" borderId="1" xfId="6" applyFont="1" applyFill="1" applyBorder="1" applyAlignment="1" applyProtection="1">
      <alignment horizontal="left"/>
    </xf>
    <xf numFmtId="1" fontId="0" fillId="23" borderId="1" xfId="0" applyNumberFormat="1" applyFill="1" applyBorder="1" applyAlignment="1">
      <alignment horizontal="right"/>
    </xf>
    <xf numFmtId="0" fontId="34" fillId="4" borderId="11" xfId="1" applyFont="1" applyFill="1" applyBorder="1" applyAlignment="1" applyProtection="1">
      <alignment horizontal="left" vertical="center" wrapText="1"/>
    </xf>
    <xf numFmtId="0" fontId="0" fillId="23" borderId="11" xfId="0" applyFill="1" applyBorder="1" applyAlignment="1">
      <alignment horizontal="left"/>
    </xf>
    <xf numFmtId="170" fontId="21" fillId="23" borderId="1" xfId="1" applyNumberFormat="1" applyFont="1" applyFill="1" applyBorder="1" applyAlignment="1" applyProtection="1">
      <alignment horizontal="right"/>
      <protection locked="0"/>
    </xf>
    <xf numFmtId="0" fontId="0" fillId="23" borderId="1" xfId="0" applyFill="1" applyBorder="1" applyAlignment="1">
      <alignment horizontal="right"/>
    </xf>
    <xf numFmtId="2" fontId="0" fillId="23" borderId="12" xfId="0" applyNumberFormat="1" applyFill="1" applyBorder="1" applyAlignment="1">
      <alignment horizontal="right"/>
    </xf>
    <xf numFmtId="2" fontId="0" fillId="23" borderId="14" xfId="0" applyNumberFormat="1" applyFill="1" applyBorder="1" applyAlignment="1">
      <alignment horizontal="right"/>
    </xf>
    <xf numFmtId="10" fontId="0" fillId="23" borderId="1" xfId="0" applyNumberFormat="1" applyFill="1" applyBorder="1" applyAlignment="1">
      <alignment horizontal="right"/>
    </xf>
    <xf numFmtId="0" fontId="3" fillId="23" borderId="11" xfId="0" applyFont="1" applyFill="1" applyBorder="1" applyAlignment="1">
      <alignment horizontal="left" vertical="center" wrapText="1"/>
    </xf>
    <xf numFmtId="0" fontId="34" fillId="4" borderId="12" xfId="1" applyFont="1" applyFill="1" applyBorder="1" applyAlignment="1" applyProtection="1">
      <alignment horizontal="left" vertical="center" wrapText="1"/>
    </xf>
    <xf numFmtId="0" fontId="34" fillId="4" borderId="13" xfId="1" applyFont="1" applyFill="1" applyBorder="1" applyAlignment="1" applyProtection="1">
      <alignment horizontal="left" vertical="center" wrapText="1"/>
    </xf>
    <xf numFmtId="0" fontId="34" fillId="4" borderId="14" xfId="1" applyFont="1" applyFill="1" applyBorder="1" applyAlignment="1" applyProtection="1">
      <alignment horizontal="left" vertical="center" wrapText="1"/>
    </xf>
    <xf numFmtId="0" fontId="34" fillId="0" borderId="15" xfId="1" applyFont="1" applyFill="1" applyBorder="1" applyAlignment="1" applyProtection="1">
      <alignment horizontal="center" vertical="center" wrapText="1"/>
    </xf>
    <xf numFmtId="0" fontId="34" fillId="0" borderId="16" xfId="1" applyFont="1" applyFill="1" applyBorder="1" applyAlignment="1" applyProtection="1">
      <alignment horizontal="center" vertical="center" wrapText="1"/>
    </xf>
    <xf numFmtId="0" fontId="3" fillId="23" borderId="11" xfId="0" applyFont="1" applyFill="1" applyBorder="1" applyAlignment="1">
      <alignment horizontal="left" vertical="center"/>
    </xf>
    <xf numFmtId="0" fontId="0" fillId="4" borderId="11" xfId="0" applyFont="1" applyFill="1" applyBorder="1" applyAlignment="1">
      <alignment horizontal="left"/>
    </xf>
    <xf numFmtId="0" fontId="3" fillId="23" borderId="7" xfId="0" applyFont="1" applyFill="1" applyBorder="1" applyAlignment="1">
      <alignment horizontal="left" vertical="center"/>
    </xf>
    <xf numFmtId="0" fontId="3" fillId="23" borderId="8" xfId="0" applyFont="1" applyFill="1" applyBorder="1" applyAlignment="1">
      <alignment horizontal="left" vertical="center"/>
    </xf>
    <xf numFmtId="0" fontId="3" fillId="23" borderId="6" xfId="0" applyFont="1" applyFill="1" applyBorder="1" applyAlignment="1">
      <alignment horizontal="left" vertical="center"/>
    </xf>
    <xf numFmtId="0" fontId="2" fillId="3" borderId="11" xfId="0" applyFont="1" applyFill="1" applyBorder="1" applyAlignment="1">
      <alignment horizontal="center"/>
    </xf>
    <xf numFmtId="0" fontId="0" fillId="0" borderId="0" xfId="0" applyAlignment="1">
      <alignment horizontal="left"/>
    </xf>
    <xf numFmtId="2" fontId="56" fillId="30" borderId="7" xfId="0" applyNumberFormat="1" applyFont="1" applyFill="1" applyBorder="1" applyAlignment="1">
      <alignment horizontal="center"/>
    </xf>
    <xf numFmtId="2" fontId="56" fillId="30" borderId="8" xfId="0" applyNumberFormat="1" applyFont="1" applyFill="1" applyBorder="1" applyAlignment="1">
      <alignment horizontal="center"/>
    </xf>
    <xf numFmtId="2" fontId="56" fillId="30" borderId="6" xfId="0" applyNumberFormat="1" applyFont="1" applyFill="1" applyBorder="1" applyAlignment="1">
      <alignment horizontal="center"/>
    </xf>
    <xf numFmtId="0" fontId="8" fillId="0" borderId="11" xfId="2" applyFont="1" applyBorder="1" applyAlignment="1" applyProtection="1">
      <alignment horizontal="left"/>
      <protection locked="0"/>
    </xf>
    <xf numFmtId="0" fontId="7" fillId="7" borderId="10" xfId="2" applyFont="1" applyFill="1" applyBorder="1" applyAlignment="1" applyProtection="1">
      <alignment horizontal="center"/>
    </xf>
    <xf numFmtId="0" fontId="7" fillId="7" borderId="0" xfId="2" applyFont="1" applyFill="1" applyBorder="1" applyAlignment="1" applyProtection="1">
      <alignment horizontal="center"/>
    </xf>
    <xf numFmtId="0" fontId="9" fillId="9" borderId="10" xfId="2" applyFont="1" applyFill="1" applyBorder="1" applyAlignment="1" applyProtection="1">
      <alignment horizontal="center"/>
      <protection locked="0"/>
    </xf>
    <xf numFmtId="0" fontId="9" fillId="9" borderId="0" xfId="2" applyFont="1" applyFill="1" applyBorder="1" applyAlignment="1" applyProtection="1">
      <alignment horizontal="center"/>
      <protection locked="0"/>
    </xf>
    <xf numFmtId="0" fontId="12" fillId="10" borderId="1" xfId="2" applyFont="1" applyFill="1" applyBorder="1" applyAlignment="1" applyProtection="1">
      <alignment horizontal="center"/>
    </xf>
    <xf numFmtId="0" fontId="16" fillId="10" borderId="12" xfId="2" applyFont="1" applyFill="1" applyBorder="1" applyAlignment="1" applyProtection="1">
      <alignment horizontal="center"/>
    </xf>
    <xf numFmtId="0" fontId="16" fillId="10" borderId="13" xfId="2" applyFont="1" applyFill="1" applyBorder="1" applyAlignment="1" applyProtection="1">
      <alignment horizontal="center"/>
    </xf>
    <xf numFmtId="0" fontId="16" fillId="10" borderId="14" xfId="2" applyFont="1" applyFill="1" applyBorder="1" applyAlignment="1" applyProtection="1">
      <alignment horizontal="center"/>
    </xf>
    <xf numFmtId="0" fontId="12" fillId="10" borderId="11" xfId="2" applyFont="1" applyFill="1" applyBorder="1" applyAlignment="1" applyProtection="1">
      <alignment horizontal="center"/>
    </xf>
    <xf numFmtId="2" fontId="56" fillId="30" borderId="7" xfId="0" applyNumberFormat="1" applyFont="1" applyFill="1" applyBorder="1" applyAlignment="1" applyProtection="1">
      <alignment horizontal="center"/>
    </xf>
    <xf numFmtId="2" fontId="56" fillId="30" borderId="8" xfId="0" applyNumberFormat="1" applyFont="1" applyFill="1" applyBorder="1" applyAlignment="1" applyProtection="1">
      <alignment horizontal="center"/>
    </xf>
    <xf numFmtId="2" fontId="56" fillId="30" borderId="6" xfId="0" applyNumberFormat="1" applyFont="1" applyFill="1" applyBorder="1" applyAlignment="1" applyProtection="1">
      <alignment horizontal="center"/>
    </xf>
    <xf numFmtId="0" fontId="7" fillId="7" borderId="1" xfId="2" applyFont="1" applyFill="1" applyBorder="1" applyAlignment="1" applyProtection="1">
      <alignment horizontal="center"/>
    </xf>
    <xf numFmtId="0" fontId="7" fillId="7" borderId="11" xfId="2" applyFont="1" applyFill="1" applyBorder="1" applyAlignment="1" applyProtection="1">
      <alignment horizontal="center"/>
    </xf>
    <xf numFmtId="0" fontId="9" fillId="9" borderId="1" xfId="2" applyFont="1" applyFill="1" applyBorder="1" applyAlignment="1" applyProtection="1">
      <alignment horizontal="center"/>
      <protection locked="0"/>
    </xf>
    <xf numFmtId="0" fontId="9" fillId="9" borderId="11" xfId="2" applyFont="1" applyFill="1" applyBorder="1" applyAlignment="1" applyProtection="1">
      <alignment horizontal="center"/>
      <protection locked="0"/>
    </xf>
    <xf numFmtId="0" fontId="28" fillId="18" borderId="11" xfId="1" applyFont="1" applyFill="1" applyBorder="1" applyAlignment="1" applyProtection="1">
      <alignment horizontal="center"/>
    </xf>
    <xf numFmtId="0" fontId="28" fillId="18" borderId="1" xfId="1" applyFont="1" applyFill="1" applyBorder="1" applyAlignment="1" applyProtection="1">
      <alignment horizontal="left"/>
    </xf>
    <xf numFmtId="0" fontId="22" fillId="3" borderId="0" xfId="1" applyFont="1" applyFill="1" applyAlignment="1" applyProtection="1">
      <alignment horizontal="center"/>
    </xf>
    <xf numFmtId="0" fontId="22" fillId="2" borderId="1" xfId="1" applyFont="1" applyFill="1" applyBorder="1" applyAlignment="1" applyProtection="1">
      <alignment horizontal="left"/>
    </xf>
    <xf numFmtId="0" fontId="20" fillId="18" borderId="1" xfId="1" applyFont="1" applyFill="1" applyBorder="1" applyAlignment="1" applyProtection="1">
      <alignment horizontal="center"/>
    </xf>
    <xf numFmtId="0" fontId="19" fillId="9" borderId="25" xfId="1" applyFont="1" applyFill="1" applyBorder="1" applyAlignment="1" applyProtection="1">
      <alignment horizontal="center"/>
      <protection locked="0"/>
    </xf>
    <xf numFmtId="0" fontId="20" fillId="18" borderId="1" xfId="1" applyFont="1" applyFill="1" applyBorder="1" applyAlignment="1" applyProtection="1">
      <alignment horizontal="left"/>
    </xf>
    <xf numFmtId="0" fontId="26" fillId="0" borderId="25" xfId="5" applyFont="1" applyBorder="1" applyAlignment="1" applyProtection="1">
      <alignment horizontal="center"/>
      <protection locked="0"/>
    </xf>
    <xf numFmtId="0" fontId="26" fillId="0" borderId="25" xfId="5" quotePrefix="1" applyFont="1" applyBorder="1" applyAlignment="1" applyProtection="1">
      <alignment horizontal="center"/>
      <protection locked="0"/>
    </xf>
    <xf numFmtId="0" fontId="19" fillId="9" borderId="1" xfId="1" applyFont="1" applyFill="1" applyBorder="1" applyAlignment="1" applyProtection="1">
      <alignment horizontal="center" vertical="center"/>
      <protection locked="0"/>
    </xf>
    <xf numFmtId="0" fontId="19" fillId="9" borderId="1" xfId="1" applyFont="1" applyFill="1" applyBorder="1" applyAlignment="1" applyProtection="1">
      <alignment horizontal="center"/>
      <protection locked="0"/>
    </xf>
    <xf numFmtId="0" fontId="26" fillId="0" borderId="1" xfId="5" applyFont="1" applyBorder="1" applyAlignment="1" applyProtection="1">
      <alignment horizontal="center"/>
      <protection locked="0"/>
    </xf>
    <xf numFmtId="0" fontId="26" fillId="0" borderId="1" xfId="5" quotePrefix="1" applyFont="1" applyBorder="1" applyAlignment="1" applyProtection="1">
      <alignment horizontal="center"/>
      <protection locked="0"/>
    </xf>
    <xf numFmtId="0" fontId="17" fillId="3" borderId="9" xfId="1" applyFont="1" applyFill="1" applyBorder="1" applyAlignment="1" applyProtection="1">
      <alignment horizontal="center"/>
    </xf>
    <xf numFmtId="0" fontId="17" fillId="3" borderId="5" xfId="1" applyFont="1" applyFill="1" applyBorder="1" applyAlignment="1" applyProtection="1">
      <alignment horizontal="center"/>
    </xf>
    <xf numFmtId="0" fontId="19" fillId="11" borderId="25" xfId="1" applyFont="1" applyFill="1" applyBorder="1" applyAlignment="1" applyProtection="1">
      <alignment horizontal="left"/>
    </xf>
    <xf numFmtId="167" fontId="19" fillId="11" borderId="25" xfId="1" applyNumberFormat="1" applyFont="1" applyFill="1" applyBorder="1" applyAlignment="1" applyProtection="1">
      <alignment horizontal="center"/>
    </xf>
    <xf numFmtId="0" fontId="20" fillId="14" borderId="1" xfId="1" applyFont="1" applyFill="1" applyBorder="1" applyAlignment="1" applyProtection="1">
      <alignment horizontal="left" vertical="top" wrapText="1"/>
    </xf>
    <xf numFmtId="0" fontId="20" fillId="14" borderId="1" xfId="1" applyFont="1" applyFill="1" applyBorder="1" applyAlignment="1" applyProtection="1">
      <alignment horizontal="center" vertical="top" wrapText="1"/>
    </xf>
    <xf numFmtId="0" fontId="21" fillId="11" borderId="25" xfId="1" applyFont="1" applyFill="1" applyBorder="1" applyAlignment="1" applyProtection="1">
      <alignment horizontal="left"/>
    </xf>
    <xf numFmtId="9" fontId="19" fillId="11" borderId="11" xfId="7" applyFont="1" applyFill="1" applyBorder="1" applyAlignment="1" applyProtection="1">
      <alignment horizontal="center"/>
    </xf>
    <xf numFmtId="0" fontId="19" fillId="11" borderId="11" xfId="1" applyFont="1" applyFill="1" applyBorder="1" applyAlignment="1" applyProtection="1">
      <alignment horizontal="left"/>
    </xf>
    <xf numFmtId="0" fontId="19" fillId="4" borderId="11" xfId="1" applyFont="1" applyFill="1" applyBorder="1" applyAlignment="1" applyProtection="1">
      <alignment horizontal="center"/>
    </xf>
    <xf numFmtId="0" fontId="28" fillId="18" borderId="11" xfId="1" applyFont="1" applyFill="1" applyBorder="1" applyAlignment="1" applyProtection="1">
      <alignment horizontal="left"/>
    </xf>
    <xf numFmtId="0" fontId="1" fillId="11" borderId="2" xfId="6" applyFill="1" applyBorder="1" applyAlignment="1" applyProtection="1">
      <alignment horizontal="left"/>
    </xf>
    <xf numFmtId="0" fontId="1" fillId="11" borderId="4" xfId="6" applyFill="1" applyBorder="1" applyAlignment="1" applyProtection="1">
      <alignment horizontal="left"/>
    </xf>
    <xf numFmtId="2" fontId="1" fillId="11" borderId="1" xfId="6" applyNumberFormat="1" applyFill="1" applyBorder="1" applyAlignment="1" applyProtection="1">
      <alignment horizontal="center"/>
    </xf>
    <xf numFmtId="0" fontId="3" fillId="11" borderId="2" xfId="6" applyFont="1" applyFill="1" applyBorder="1" applyAlignment="1" applyProtection="1">
      <alignment horizontal="left"/>
    </xf>
    <xf numFmtId="0" fontId="3" fillId="11" borderId="4" xfId="6" applyFont="1" applyFill="1" applyBorder="1" applyAlignment="1" applyProtection="1">
      <alignment horizontal="left"/>
    </xf>
    <xf numFmtId="2" fontId="3" fillId="11" borderId="2" xfId="6" applyNumberFormat="1" applyFont="1" applyFill="1" applyBorder="1" applyAlignment="1" applyProtection="1">
      <alignment horizontal="center"/>
    </xf>
    <xf numFmtId="2" fontId="3" fillId="11" borderId="4" xfId="6" applyNumberFormat="1" applyFont="1" applyFill="1" applyBorder="1" applyAlignment="1" applyProtection="1">
      <alignment horizontal="center"/>
    </xf>
    <xf numFmtId="0" fontId="30" fillId="20" borderId="7" xfId="6" applyFont="1" applyFill="1" applyBorder="1" applyAlignment="1" applyProtection="1">
      <alignment horizontal="center" vertical="center" wrapText="1"/>
    </xf>
    <xf numFmtId="0" fontId="30" fillId="20" borderId="6" xfId="6" applyFont="1" applyFill="1" applyBorder="1" applyAlignment="1" applyProtection="1">
      <alignment horizontal="center" vertical="center" wrapText="1"/>
    </xf>
    <xf numFmtId="0" fontId="2" fillId="2" borderId="1" xfId="6" applyFont="1" applyFill="1" applyBorder="1" applyAlignment="1" applyProtection="1">
      <alignment horizontal="center"/>
    </xf>
    <xf numFmtId="0" fontId="3" fillId="11" borderId="30" xfId="6" applyFont="1" applyFill="1" applyBorder="1" applyAlignment="1" applyProtection="1">
      <alignment horizontal="center" vertical="center" wrapText="1"/>
    </xf>
    <xf numFmtId="0" fontId="3" fillId="11" borderId="31" xfId="6" applyFont="1" applyFill="1" applyBorder="1" applyAlignment="1" applyProtection="1">
      <alignment horizontal="center" vertical="center" wrapText="1"/>
    </xf>
    <xf numFmtId="0" fontId="3" fillId="11" borderId="1" xfId="6" applyFont="1" applyFill="1" applyBorder="1" applyAlignment="1" applyProtection="1">
      <alignment horizontal="center" vertical="center" wrapText="1"/>
    </xf>
    <xf numFmtId="0" fontId="30" fillId="20" borderId="1" xfId="6" applyFont="1" applyFill="1" applyBorder="1" applyAlignment="1" applyProtection="1">
      <alignment horizontal="center" vertical="center"/>
    </xf>
    <xf numFmtId="0" fontId="30" fillId="20" borderId="1" xfId="6" applyFont="1" applyFill="1" applyBorder="1" applyAlignment="1" applyProtection="1">
      <alignment horizontal="center" vertical="center" wrapText="1"/>
    </xf>
    <xf numFmtId="0" fontId="30" fillId="20" borderId="1" xfId="6" applyFont="1" applyFill="1" applyBorder="1" applyAlignment="1" applyProtection="1">
      <alignment horizontal="right" vertical="center" wrapText="1"/>
    </xf>
    <xf numFmtId="0" fontId="0" fillId="0" borderId="11" xfId="6" applyFont="1" applyFill="1" applyBorder="1" applyAlignment="1" applyProtection="1">
      <alignment horizontal="center"/>
    </xf>
    <xf numFmtId="0" fontId="1" fillId="0" borderId="11" xfId="6" applyFill="1" applyBorder="1" applyAlignment="1" applyProtection="1">
      <alignment horizontal="center"/>
    </xf>
    <xf numFmtId="0" fontId="13" fillId="18" borderId="12" xfId="6" applyFont="1" applyFill="1" applyBorder="1" applyAlignment="1" applyProtection="1">
      <alignment horizontal="left"/>
    </xf>
    <xf numFmtId="0" fontId="13" fillId="18" borderId="14" xfId="6" applyFont="1" applyFill="1" applyBorder="1" applyAlignment="1" applyProtection="1">
      <alignment horizontal="left"/>
    </xf>
    <xf numFmtId="0" fontId="13" fillId="18" borderId="3" xfId="6" applyFont="1" applyFill="1" applyBorder="1" applyAlignment="1" applyProtection="1">
      <alignment horizontal="left"/>
    </xf>
    <xf numFmtId="0" fontId="13" fillId="18" borderId="4" xfId="6" applyFont="1" applyFill="1" applyBorder="1" applyAlignment="1" applyProtection="1">
      <alignment horizontal="left"/>
    </xf>
    <xf numFmtId="0" fontId="7" fillId="3" borderId="0" xfId="6" applyFont="1" applyFill="1" applyAlignment="1" applyProtection="1">
      <alignment horizontal="left"/>
    </xf>
    <xf numFmtId="0" fontId="13" fillId="18" borderId="1" xfId="6" applyFont="1" applyFill="1" applyBorder="1" applyAlignment="1" applyProtection="1">
      <alignment horizontal="left"/>
    </xf>
    <xf numFmtId="0" fontId="3" fillId="11" borderId="1" xfId="6" applyFont="1" applyFill="1" applyBorder="1" applyAlignment="1" applyProtection="1">
      <alignment horizontal="center"/>
    </xf>
    <xf numFmtId="0" fontId="0" fillId="23" borderId="1" xfId="0" applyFont="1" applyFill="1" applyBorder="1" applyAlignment="1" applyProtection="1">
      <alignment horizontal="center"/>
    </xf>
    <xf numFmtId="0" fontId="1" fillId="23" borderId="1" xfId="0" applyFont="1" applyFill="1" applyBorder="1" applyAlignment="1" applyProtection="1">
      <alignment horizontal="center"/>
    </xf>
    <xf numFmtId="0" fontId="34" fillId="4" borderId="7" xfId="1" applyFont="1" applyFill="1" applyBorder="1" applyAlignment="1" applyProtection="1">
      <alignment horizontal="center" vertical="center" textRotation="90" wrapText="1"/>
    </xf>
    <xf numFmtId="0" fontId="34" fillId="4" borderId="8" xfId="1" applyFont="1" applyFill="1" applyBorder="1" applyAlignment="1" applyProtection="1">
      <alignment horizontal="center" vertical="center" textRotation="90" wrapText="1"/>
    </xf>
    <xf numFmtId="0" fontId="34" fillId="4" borderId="6" xfId="1" applyFont="1" applyFill="1" applyBorder="1" applyAlignment="1" applyProtection="1">
      <alignment horizontal="center" vertical="center" textRotation="90" wrapText="1"/>
    </xf>
    <xf numFmtId="0" fontId="3" fillId="0" borderId="22"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3" fillId="0" borderId="23" xfId="0" applyFont="1" applyFill="1" applyBorder="1" applyAlignment="1" applyProtection="1">
      <alignment horizontal="left"/>
      <protection locked="0"/>
    </xf>
    <xf numFmtId="0" fontId="3" fillId="0" borderId="11" xfId="0" applyFont="1" applyBorder="1" applyAlignment="1" applyProtection="1">
      <alignment horizontal="left"/>
      <protection locked="0"/>
    </xf>
    <xf numFmtId="0" fontId="0" fillId="0" borderId="1" xfId="0" applyBorder="1" applyAlignment="1" applyProtection="1">
      <alignment horizontal="center" vertical="center"/>
    </xf>
    <xf numFmtId="0" fontId="0" fillId="0" borderId="1" xfId="0" applyBorder="1" applyAlignment="1" applyProtection="1">
      <alignment horizontal="center"/>
    </xf>
    <xf numFmtId="9" fontId="46" fillId="24" borderId="16" xfId="0" applyNumberFormat="1" applyFont="1" applyFill="1" applyBorder="1" applyAlignment="1" applyProtection="1">
      <alignment horizontal="center" vertical="center" wrapText="1" readingOrder="1"/>
      <protection hidden="1"/>
    </xf>
    <xf numFmtId="0" fontId="0" fillId="0" borderId="16" xfId="0" applyBorder="1" applyAlignment="1" applyProtection="1">
      <alignment horizontal="center"/>
      <protection hidden="1"/>
    </xf>
    <xf numFmtId="0" fontId="45" fillId="9" borderId="7" xfId="0" applyFont="1" applyFill="1" applyBorder="1" applyAlignment="1" applyProtection="1">
      <alignment horizontal="left" vertical="center" wrapText="1" readingOrder="1"/>
      <protection hidden="1"/>
    </xf>
    <xf numFmtId="0" fontId="45" fillId="9" borderId="6" xfId="0" applyFont="1" applyFill="1" applyBorder="1" applyAlignment="1" applyProtection="1">
      <alignment horizontal="left" vertical="center" wrapText="1" readingOrder="1"/>
      <protection hidden="1"/>
    </xf>
    <xf numFmtId="0" fontId="45" fillId="9" borderId="7" xfId="0" applyFont="1" applyFill="1" applyBorder="1" applyAlignment="1" applyProtection="1">
      <alignment horizontal="center" vertical="center" wrapText="1" readingOrder="1"/>
      <protection hidden="1"/>
    </xf>
    <xf numFmtId="0" fontId="45" fillId="9" borderId="6" xfId="0" applyFont="1" applyFill="1" applyBorder="1" applyAlignment="1" applyProtection="1">
      <alignment horizontal="center" vertical="center" wrapText="1" readingOrder="1"/>
      <protection hidden="1"/>
    </xf>
    <xf numFmtId="0" fontId="45" fillId="9" borderId="12" xfId="0" applyFont="1" applyFill="1" applyBorder="1" applyAlignment="1" applyProtection="1">
      <alignment horizontal="center" vertical="center" wrapText="1" readingOrder="1"/>
      <protection hidden="1"/>
    </xf>
    <xf numFmtId="0" fontId="45" fillId="9" borderId="14" xfId="0" applyFont="1" applyFill="1" applyBorder="1" applyAlignment="1" applyProtection="1">
      <alignment horizontal="center" vertical="center" wrapText="1" readingOrder="1"/>
      <protection hidden="1"/>
    </xf>
    <xf numFmtId="0" fontId="7" fillId="3" borderId="0" xfId="6" applyFont="1" applyFill="1" applyAlignment="1" applyProtection="1">
      <alignment horizontal="center"/>
      <protection hidden="1"/>
    </xf>
    <xf numFmtId="0" fontId="45" fillId="29" borderId="1" xfId="0" applyFont="1" applyFill="1" applyBorder="1" applyAlignment="1" applyProtection="1">
      <alignment horizontal="center" vertical="center" wrapText="1" readingOrder="1"/>
      <protection hidden="1"/>
    </xf>
    <xf numFmtId="0" fontId="45" fillId="9" borderId="1" xfId="0" applyFont="1" applyFill="1" applyBorder="1" applyAlignment="1" applyProtection="1">
      <alignment horizontal="center" vertical="center" wrapText="1" readingOrder="1"/>
      <protection hidden="1"/>
    </xf>
    <xf numFmtId="0" fontId="45" fillId="29" borderId="1" xfId="0" applyFont="1" applyFill="1" applyBorder="1" applyAlignment="1" applyProtection="1">
      <alignment horizontal="left" vertical="center" wrapText="1" readingOrder="1"/>
      <protection hidden="1"/>
    </xf>
    <xf numFmtId="0" fontId="50" fillId="29" borderId="1" xfId="0" applyFont="1" applyFill="1" applyBorder="1" applyAlignment="1" applyProtection="1">
      <alignment vertical="center" wrapText="1"/>
      <protection hidden="1"/>
    </xf>
    <xf numFmtId="0" fontId="36" fillId="0" borderId="11" xfId="0" applyFont="1" applyBorder="1" applyAlignment="1" applyProtection="1">
      <alignment horizontal="left" vertical="center"/>
    </xf>
    <xf numFmtId="0" fontId="36" fillId="0" borderId="12" xfId="0" applyFont="1" applyBorder="1" applyAlignment="1" applyProtection="1">
      <alignment horizontal="left" vertical="center"/>
    </xf>
    <xf numFmtId="0" fontId="36" fillId="0" borderId="13" xfId="0" applyFont="1" applyBorder="1" applyAlignment="1" applyProtection="1">
      <alignment horizontal="left" vertical="center"/>
    </xf>
    <xf numFmtId="0" fontId="36" fillId="0" borderId="14" xfId="0" applyFont="1" applyBorder="1" applyAlignment="1" applyProtection="1">
      <alignment horizontal="left" vertical="center"/>
    </xf>
    <xf numFmtId="0" fontId="36" fillId="0" borderId="11" xfId="0" applyFont="1" applyBorder="1" applyAlignment="1" applyProtection="1">
      <alignment horizontal="left" vertical="center" wrapText="1"/>
    </xf>
    <xf numFmtId="173" fontId="36" fillId="0" borderId="12" xfId="0" applyNumberFormat="1" applyFont="1" applyBorder="1" applyAlignment="1" applyProtection="1">
      <alignment horizontal="left"/>
      <protection locked="0"/>
    </xf>
    <xf numFmtId="173" fontId="36" fillId="0" borderId="13" xfId="0" applyNumberFormat="1" applyFont="1" applyBorder="1" applyAlignment="1" applyProtection="1">
      <alignment horizontal="left"/>
      <protection locked="0"/>
    </xf>
    <xf numFmtId="173" fontId="36" fillId="0" borderId="14" xfId="0" applyNumberFormat="1" applyFont="1" applyBorder="1" applyAlignment="1" applyProtection="1">
      <alignment horizontal="left"/>
      <protection locked="0"/>
    </xf>
    <xf numFmtId="0" fontId="3" fillId="0" borderId="0" xfId="0" applyFont="1" applyBorder="1" applyAlignment="1" applyProtection="1">
      <alignment horizontal="left" wrapText="1"/>
    </xf>
    <xf numFmtId="0" fontId="3" fillId="0" borderId="0" xfId="0" applyFont="1" applyBorder="1" applyAlignment="1" applyProtection="1">
      <alignment horizontal="left" vertical="top" wrapText="1"/>
    </xf>
    <xf numFmtId="0" fontId="36" fillId="0" borderId="7" xfId="0" applyFont="1" applyBorder="1" applyAlignment="1" applyProtection="1">
      <alignment horizontal="center" vertical="center" wrapText="1"/>
    </xf>
    <xf numFmtId="0" fontId="36" fillId="0" borderId="6"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0" fontId="36" fillId="0" borderId="16" xfId="0" applyFont="1" applyBorder="1" applyAlignment="1" applyProtection="1">
      <alignment horizontal="center" vertical="center" wrapText="1"/>
    </xf>
    <xf numFmtId="0" fontId="36" fillId="0" borderId="17" xfId="0" applyFont="1" applyBorder="1" applyAlignment="1" applyProtection="1">
      <alignment horizontal="center" vertical="center" wrapText="1"/>
    </xf>
    <xf numFmtId="0" fontId="36" fillId="0" borderId="9" xfId="0" applyFont="1" applyBorder="1" applyAlignment="1" applyProtection="1">
      <alignment horizontal="center" vertical="center" wrapText="1"/>
    </xf>
    <xf numFmtId="0" fontId="36" fillId="0" borderId="5" xfId="0" applyFont="1" applyBorder="1" applyAlignment="1" applyProtection="1">
      <alignment horizontal="center" vertical="center" wrapText="1"/>
    </xf>
    <xf numFmtId="0" fontId="36" fillId="0" borderId="19" xfId="0" applyFont="1" applyBorder="1" applyAlignment="1" applyProtection="1">
      <alignment horizontal="center" vertical="center" wrapText="1"/>
    </xf>
    <xf numFmtId="173" fontId="36" fillId="0" borderId="12" xfId="0" applyNumberFormat="1" applyFont="1" applyBorder="1" applyAlignment="1" applyProtection="1">
      <alignment horizontal="left" vertical="center"/>
      <protection locked="0"/>
    </xf>
    <xf numFmtId="173" fontId="36" fillId="0" borderId="13" xfId="0" applyNumberFormat="1" applyFont="1" applyBorder="1" applyAlignment="1" applyProtection="1">
      <alignment horizontal="left" vertical="center"/>
      <protection locked="0"/>
    </xf>
    <xf numFmtId="173" fontId="36" fillId="0" borderId="14" xfId="0" applyNumberFormat="1" applyFont="1" applyBorder="1" applyAlignment="1" applyProtection="1">
      <alignment horizontal="left" vertical="center"/>
      <protection locked="0"/>
    </xf>
    <xf numFmtId="0" fontId="0" fillId="0" borderId="11" xfId="0" applyBorder="1" applyAlignment="1" applyProtection="1">
      <alignment horizontal="left"/>
    </xf>
    <xf numFmtId="0" fontId="0" fillId="0" borderId="11" xfId="0" applyBorder="1" applyAlignment="1" applyProtection="1">
      <alignment horizontal="center"/>
    </xf>
    <xf numFmtId="0" fontId="0" fillId="0" borderId="0" xfId="0" applyBorder="1" applyAlignment="1" applyProtection="1">
      <alignment horizontal="left"/>
      <protection locked="0"/>
    </xf>
    <xf numFmtId="0" fontId="0" fillId="0" borderId="0" xfId="0" applyBorder="1" applyAlignment="1" applyProtection="1">
      <alignment horizontal="left"/>
    </xf>
    <xf numFmtId="1" fontId="0" fillId="0" borderId="0" xfId="0" applyNumberFormat="1" applyBorder="1" applyAlignment="1" applyProtection="1">
      <alignment horizontal="left"/>
    </xf>
    <xf numFmtId="0" fontId="52" fillId="0" borderId="0" xfId="0" applyFont="1" applyBorder="1" applyAlignment="1" applyProtection="1">
      <alignment horizontal="center"/>
    </xf>
    <xf numFmtId="0" fontId="53" fillId="0" borderId="0" xfId="0" applyFont="1" applyBorder="1" applyAlignment="1" applyProtection="1">
      <alignment horizontal="center"/>
    </xf>
    <xf numFmtId="0" fontId="0" fillId="0" borderId="0" xfId="0" applyBorder="1" applyAlignment="1" applyProtection="1">
      <alignment horizontal="center"/>
    </xf>
    <xf numFmtId="0" fontId="54" fillId="0" borderId="0" xfId="0" applyFont="1" applyBorder="1" applyAlignment="1" applyProtection="1">
      <alignment horizontal="left" wrapText="1"/>
    </xf>
    <xf numFmtId="0" fontId="0" fillId="0" borderId="0" xfId="0" applyFont="1" applyBorder="1" applyAlignment="1" applyProtection="1">
      <alignment horizontal="left" vertical="top" wrapText="1"/>
    </xf>
    <xf numFmtId="0" fontId="0" fillId="0" borderId="0" xfId="0" applyBorder="1" applyAlignment="1" applyProtection="1">
      <alignment horizontal="left" vertical="top"/>
    </xf>
    <xf numFmtId="0" fontId="0" fillId="0" borderId="0" xfId="0" applyBorder="1" applyAlignment="1" applyProtection="1">
      <alignment horizontal="left" vertical="top" wrapText="1"/>
    </xf>
    <xf numFmtId="0" fontId="0" fillId="0" borderId="0" xfId="0" applyBorder="1" applyAlignment="1" applyProtection="1">
      <alignment horizontal="left" vertical="top"/>
      <protection locked="0"/>
    </xf>
    <xf numFmtId="0" fontId="3" fillId="0" borderId="0" xfId="0" applyFont="1" applyBorder="1" applyAlignment="1" applyProtection="1">
      <alignment horizontal="center" vertical="top"/>
    </xf>
    <xf numFmtId="0" fontId="0" fillId="0" borderId="0" xfId="0" applyBorder="1" applyAlignment="1">
      <alignment horizontal="left"/>
    </xf>
    <xf numFmtId="165" fontId="0" fillId="0" borderId="0" xfId="0" applyNumberFormat="1" applyBorder="1" applyAlignment="1" applyProtection="1">
      <alignment horizontal="center"/>
    </xf>
    <xf numFmtId="0" fontId="0" fillId="0" borderId="0" xfId="0" applyBorder="1" applyAlignment="1" applyProtection="1">
      <alignment horizontal="left" vertical="top" wrapText="1"/>
      <protection locked="0"/>
    </xf>
    <xf numFmtId="0" fontId="0" fillId="0" borderId="0" xfId="0" applyBorder="1" applyAlignment="1" applyProtection="1">
      <alignment horizontal="center"/>
      <protection locked="0"/>
    </xf>
    <xf numFmtId="165" fontId="0" fillId="0" borderId="0" xfId="0" applyNumberFormat="1" applyBorder="1" applyAlignment="1">
      <alignment horizontal="center"/>
    </xf>
    <xf numFmtId="0" fontId="3" fillId="0" borderId="0" xfId="0" applyFont="1" applyBorder="1" applyAlignment="1">
      <alignment horizontal="left"/>
    </xf>
    <xf numFmtId="0" fontId="0" fillId="0" borderId="0" xfId="0" applyBorder="1" applyAlignment="1">
      <alignment horizontal="left" vertical="top" wrapText="1"/>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left" wrapText="1"/>
    </xf>
    <xf numFmtId="0" fontId="0" fillId="0" borderId="11" xfId="0" applyBorder="1" applyAlignment="1">
      <alignment horizontal="center"/>
    </xf>
    <xf numFmtId="0" fontId="0" fillId="0" borderId="11" xfId="0" applyBorder="1" applyAlignment="1">
      <alignment horizontal="left"/>
    </xf>
    <xf numFmtId="0" fontId="0" fillId="0" borderId="0" xfId="0" applyBorder="1" applyAlignment="1">
      <alignment horizontal="center"/>
    </xf>
    <xf numFmtId="1" fontId="0" fillId="0" borderId="0" xfId="0" applyNumberFormat="1" applyBorder="1" applyAlignment="1">
      <alignment horizontal="left"/>
    </xf>
    <xf numFmtId="0" fontId="54" fillId="0" borderId="0" xfId="0" applyFont="1" applyBorder="1" applyAlignment="1">
      <alignment horizontal="left" wrapText="1"/>
    </xf>
    <xf numFmtId="0" fontId="53" fillId="0" borderId="0" xfId="0" applyFont="1" applyBorder="1" applyAlignment="1">
      <alignment horizontal="center"/>
    </xf>
    <xf numFmtId="0" fontId="52" fillId="0" borderId="0" xfId="0" applyFont="1" applyBorder="1" applyAlignment="1">
      <alignment horizontal="center"/>
    </xf>
    <xf numFmtId="0" fontId="40" fillId="0" borderId="0" xfId="8" applyFont="1" applyBorder="1" applyAlignment="1">
      <alignment horizontal="center" wrapText="1"/>
    </xf>
    <xf numFmtId="0" fontId="41" fillId="0" borderId="0" xfId="8" applyFont="1" applyBorder="1" applyAlignment="1">
      <alignment horizontal="center" wrapText="1"/>
    </xf>
    <xf numFmtId="0" fontId="0" fillId="0" borderId="36" xfId="0" applyBorder="1" applyAlignment="1" applyProtection="1">
      <alignment horizontal="left" vertical="top" wrapText="1"/>
      <protection locked="0"/>
    </xf>
    <xf numFmtId="0" fontId="0" fillId="0" borderId="36" xfId="0" applyBorder="1" applyAlignment="1" applyProtection="1">
      <alignment horizontal="left" vertical="top"/>
      <protection locked="0"/>
    </xf>
    <xf numFmtId="0" fontId="4" fillId="24" borderId="36" xfId="1" applyFont="1" applyFill="1" applyBorder="1" applyAlignment="1" applyProtection="1">
      <alignment horizontal="left" vertical="center"/>
      <protection locked="0"/>
    </xf>
  </cellXfs>
  <cellStyles count="15">
    <cellStyle name="Comma" xfId="14" builtinId="3"/>
    <cellStyle name="Comma 2" xfId="12"/>
    <cellStyle name="Comma 3" xfId="10"/>
    <cellStyle name="Comma 4" xfId="13"/>
    <cellStyle name="Normal" xfId="0" builtinId="0"/>
    <cellStyle name="Normal 10" xfId="6"/>
    <cellStyle name="Normal 2" xfId="5"/>
    <cellStyle name="Normal 2_ATBL WC RENEWAL 12-13" xfId="1"/>
    <cellStyle name="Normal 3" xfId="8"/>
    <cellStyle name="Normal 9" xfId="2"/>
    <cellStyle name="Note 2" xfId="11"/>
    <cellStyle name="Percent" xfId="7" builtinId="5"/>
    <cellStyle name="Percent 2" xfId="9"/>
    <cellStyle name="Percent 2 2" xfId="3"/>
    <cellStyle name="Percent 4" xfId="4"/>
  </cellStyles>
  <dxfs count="212">
    <dxf>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diagonalUp="0" diagonalDown="0" outline="0">
        <left style="thin">
          <color indexed="64"/>
        </left>
        <right style="thin">
          <color indexed="64"/>
        </right>
        <top/>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val="0"/>
        <i val="0"/>
        <strike val="0"/>
        <outline val="0"/>
        <shadow val="0"/>
        <u val="none"/>
        <color rgb="FFFFFFFF"/>
        <name val="Arial"/>
      </font>
      <numFmt numFmtId="0" formatCode="General"/>
      <fill>
        <patternFill>
          <bgColor rgb="FFFFFFFF"/>
        </patternFill>
      </fill>
      <border diagonalUp="0" diagonalDown="0">
        <left/>
        <right/>
        <top/>
        <bottom/>
      </border>
    </dxf>
    <dxf>
      <font>
        <b val="0"/>
        <i val="0"/>
        <strike val="0"/>
        <outline val="0"/>
        <shadow val="0"/>
        <u val="none"/>
        <color rgb="FFFFFFFF"/>
        <name val="Arial"/>
      </font>
      <numFmt numFmtId="0" formatCode="General"/>
      <fill>
        <patternFill>
          <bgColor rgb="FFFFFFFF"/>
        </patternFill>
      </fill>
      <border diagonalUp="0" diagonalDown="0">
        <left/>
        <right/>
        <top/>
        <bottom/>
      </border>
    </dxf>
    <dxf>
      <border diagonalUp="0" diagonalDown="0">
        <left style="thin">
          <color auto="1"/>
        </left>
        <right style="thin">
          <color auto="1"/>
        </right>
        <top style="thin">
          <color auto="1"/>
        </top>
        <bottom style="thin">
          <color auto="1"/>
        </bottom>
      </border>
    </dxf>
    <dxf>
      <font>
        <color rgb="FF000000"/>
      </font>
      <fill>
        <patternFill>
          <bgColor rgb="FFFF0000"/>
        </patternFill>
      </fill>
    </dxf>
    <dxf>
      <font>
        <color rgb="FF9C0006"/>
      </font>
      <fill>
        <patternFill>
          <bgColor rgb="FFFFC7CE"/>
        </patternFill>
      </fill>
    </dxf>
    <dxf>
      <font>
        <color rgb="FF000000"/>
      </font>
      <fill>
        <patternFill>
          <bgColor rgb="FFC00000"/>
        </patternFill>
      </fill>
    </dxf>
    <dxf>
      <font>
        <color rgb="FFFFFFFF"/>
      </font>
      <fill>
        <patternFill>
          <bgColor rgb="FFFF0000"/>
        </patternFill>
      </fill>
    </dxf>
    <dxf>
      <font>
        <b/>
        <i val="0"/>
      </font>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ill>
        <patternFill>
          <bgColor rgb="FF92D050"/>
        </patternFill>
      </fill>
    </dxf>
    <dxf>
      <font>
        <strike val="0"/>
      </font>
      <fill>
        <patternFill>
          <bgColor rgb="FFFF0000"/>
        </patternFill>
      </fill>
    </dxf>
    <dxf>
      <font>
        <strike val="0"/>
      </font>
      <fill>
        <patternFill>
          <bgColor rgb="FF92D050"/>
        </patternFill>
      </fill>
    </dxf>
  </dxfs>
  <tableStyles count="0" defaultTableStyle="TableStyleMedium2" defaultPivotStyle="PivotStyleLight16"/>
  <colors>
    <mruColors>
      <color rgb="FFC2D1EC"/>
      <color rgb="FFFFFFCC"/>
      <color rgb="FF002060"/>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33617</xdr:colOff>
      <xdr:row>1</xdr:row>
      <xdr:rowOff>22411</xdr:rowOff>
    </xdr:from>
    <xdr:to>
      <xdr:col>2</xdr:col>
      <xdr:colOff>602345</xdr:colOff>
      <xdr:row>1</xdr:row>
      <xdr:rowOff>436999</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212911"/>
          <a:ext cx="1252287" cy="414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657646</xdr:colOff>
      <xdr:row>18</xdr:row>
      <xdr:rowOff>22413</xdr:rowOff>
    </xdr:from>
    <xdr:to>
      <xdr:col>3</xdr:col>
      <xdr:colOff>112758</xdr:colOff>
      <xdr:row>18</xdr:row>
      <xdr:rowOff>168088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24334" y="3927663"/>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19</xdr:row>
      <xdr:rowOff>22413</xdr:rowOff>
    </xdr:from>
    <xdr:to>
      <xdr:col>3</xdr:col>
      <xdr:colOff>112758</xdr:colOff>
      <xdr:row>19</xdr:row>
      <xdr:rowOff>168088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4334" y="4141976"/>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134471</xdr:colOff>
      <xdr:row>14</xdr:row>
      <xdr:rowOff>33617</xdr:rowOff>
    </xdr:from>
    <xdr:to>
      <xdr:col>14</xdr:col>
      <xdr:colOff>784412</xdr:colOff>
      <xdr:row>14</xdr:row>
      <xdr:rowOff>134470</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a:off x="10208559" y="3092823"/>
          <a:ext cx="649941" cy="10085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0</xdr:row>
      <xdr:rowOff>47625</xdr:rowOff>
    </xdr:from>
    <xdr:to>
      <xdr:col>11</xdr:col>
      <xdr:colOff>104774</xdr:colOff>
      <xdr:row>43</xdr:row>
      <xdr:rowOff>114301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66674" y="47625"/>
          <a:ext cx="6867525" cy="926782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66674</xdr:colOff>
      <xdr:row>45</xdr:row>
      <xdr:rowOff>47625</xdr:rowOff>
    </xdr:from>
    <xdr:to>
      <xdr:col>11</xdr:col>
      <xdr:colOff>66674</xdr:colOff>
      <xdr:row>87</xdr:row>
      <xdr:rowOff>95250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66674" y="9629775"/>
          <a:ext cx="6829425" cy="9439275"/>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88</xdr:row>
      <xdr:rowOff>66675</xdr:rowOff>
    </xdr:from>
    <xdr:to>
      <xdr:col>11</xdr:col>
      <xdr:colOff>95250</xdr:colOff>
      <xdr:row>128</xdr:row>
      <xdr:rowOff>123825</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85725" y="1923097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129</xdr:row>
      <xdr:rowOff>47625</xdr:rowOff>
    </xdr:from>
    <xdr:to>
      <xdr:col>11</xdr:col>
      <xdr:colOff>57150</xdr:colOff>
      <xdr:row>179</xdr:row>
      <xdr:rowOff>104775</xdr:rowOff>
    </xdr:to>
    <xdr:sp macro="" textlink="">
      <xdr:nvSpPr>
        <xdr:cNvPr id="8" name="Rectangle 7">
          <a:extLst>
            <a:ext uri="{FF2B5EF4-FFF2-40B4-BE49-F238E27FC236}">
              <a16:creationId xmlns:a16="http://schemas.microsoft.com/office/drawing/2014/main" id="{00000000-0008-0000-0C00-000008000000}"/>
            </a:ext>
          </a:extLst>
        </xdr:cNvPr>
        <xdr:cNvSpPr/>
      </xdr:nvSpPr>
      <xdr:spPr>
        <a:xfrm>
          <a:off x="47625" y="2892742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51</xdr:row>
      <xdr:rowOff>28575</xdr:rowOff>
    </xdr:from>
    <xdr:to>
      <xdr:col>11</xdr:col>
      <xdr:colOff>161925</xdr:colOff>
      <xdr:row>90</xdr:row>
      <xdr:rowOff>95251</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9050" y="974407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47625</xdr:rowOff>
    </xdr:from>
    <xdr:to>
      <xdr:col>11</xdr:col>
      <xdr:colOff>171449</xdr:colOff>
      <xdr:row>49</xdr:row>
      <xdr:rowOff>114301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8574" y="4762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M%20HFS%20-%2020Aug202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65.547206597221" createdVersion="6" refreshedVersion="6" minRefreshableVersion="3" recordCount="736">
  <cacheSource type="worksheet">
    <worksheetSource ref="A3:C739" sheet="List of Districts" r:id="rId2"/>
  </cacheSource>
  <cacheFields count="3">
    <cacheField name="State" numFmtId="0">
      <sharedItems count="37">
        <s v="Andaman Nicobar"/>
        <s v="Andhra Pradesh"/>
        <s v="Arunachal Pradesh"/>
        <s v="Assam"/>
        <s v="Bihar"/>
        <s v="Chandigarh"/>
        <s v="Chhattisgarh"/>
        <s v="Dadra Nagar Haveli"/>
        <s v="Daman Diu"/>
        <s v="Delhi"/>
        <s v="Goa"/>
        <s v="Gujarat"/>
        <s v="Haryana"/>
        <s v="Himachal Pradesh"/>
        <s v="Jammu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 numFmtId="0">
      <sharedItems count="731">
        <s v="Nicobar"/>
        <s v="North Middle Andaman"/>
        <s v="South Andaman"/>
        <s v="Anantapur"/>
        <s v="Chittoor"/>
        <s v="East Godavari"/>
        <s v="Guntur"/>
        <s v="Kadapa"/>
        <s v="Krishna"/>
        <s v="Kurnool"/>
        <s v="Nellore"/>
        <s v="Prakasam"/>
        <s v="Srikakulam"/>
        <s v="Visakhapatnam"/>
        <s v="Vizianagaram"/>
        <s v="West Godavari"/>
        <s v="Anjaw"/>
        <s v="Central Siang"/>
        <s v="Changlang"/>
        <s v="Dibang Valley"/>
        <s v="East Kameng"/>
        <s v="East Siang"/>
        <s v="Kamle"/>
        <s v="Kra Daadi"/>
        <s v="Kurung Kumey"/>
        <s v="Lepa Rada"/>
        <s v="Lohit"/>
        <s v="Longding"/>
        <s v="Lower Dibang Valley"/>
        <s v="Lower Siang"/>
        <s v="Lower Subansiri"/>
        <s v="Namsai"/>
        <s v="Pakke Kessang"/>
        <s v="Papum Pare"/>
        <s v="Shi Yomi"/>
        <s v="Tawang"/>
        <s v="Tirap"/>
        <s v="Upper Siang"/>
        <s v="Upper Subansiri"/>
        <s v="West Kameng"/>
        <s v="West Siang"/>
        <s v="Baksa"/>
        <s v="Barpeta"/>
        <s v="Biswanath"/>
        <s v="Bongaigaon"/>
        <s v="Cachar"/>
        <s v="Charaideo"/>
        <s v="Chirang"/>
        <s v="Darrang"/>
        <s v="Dhemaji"/>
        <s v="Dhubri"/>
        <s v="Dibrugarh"/>
        <s v="Dima Hasao"/>
        <s v="Goalpara"/>
        <s v="Golaghat"/>
        <s v="Hailakandi"/>
        <s v="Hojai"/>
        <s v="Jorhat"/>
        <s v="Kamrup"/>
        <s v="Kamrup Metropolitan"/>
        <s v="Karbi Anglong"/>
        <s v="Karimganj"/>
        <s v="Kokrajhar"/>
        <s v="Lakhimpur"/>
        <s v="Majuli"/>
        <s v="Morigaon"/>
        <s v="Nagaon"/>
        <s v="Nalbari"/>
        <s v="Sivasagar"/>
        <s v="Sonitpur"/>
        <s v="South Salmara-Mankachar"/>
        <s v="Tinsukia"/>
        <s v="Udalguri"/>
        <s v="West Karbi Anglong"/>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Balod"/>
        <s v="Baloda Bazar"/>
        <s v="Balrampur"/>
        <s v="Bastar"/>
        <s v="Bemetara"/>
        <s v="Bijapur"/>
        <s v="Bilaspur"/>
        <s v="Dantewada"/>
        <s v="Dhamtari"/>
        <s v="Durg"/>
        <s v="Gariaband"/>
        <s v="Gaurela Pendra Marwahi"/>
        <s v="Janjgir Champa"/>
        <s v="Jashpur"/>
        <s v="Kabirdham"/>
        <s v="Kanker"/>
        <s v="Kondagaon"/>
        <s v="Korba"/>
        <s v="Koriya"/>
        <s v="Mahasamund"/>
        <s v="Mungeli"/>
        <s v="Narayanpur"/>
        <s v="Raigarh"/>
        <s v="Raipur"/>
        <s v="Rajnandgaon"/>
        <s v="Sukma"/>
        <s v="Surajpur"/>
        <s v="Surguja"/>
        <s v="Dadra Nagar Haveli"/>
        <s v="Daman"/>
        <s v="Diu"/>
        <s v="Central Delhi"/>
        <s v="East Delhi"/>
        <s v="New Delhi"/>
        <s v="North Delhi"/>
        <s v="North East Delhi"/>
        <s v="North West Delhi"/>
        <s v="Shahdara"/>
        <s v="South Delhi"/>
        <s v="South East Delhi"/>
        <s v="South West Delhi"/>
        <s v="West Delhi"/>
        <s v="North Goa"/>
        <s v="South Goa"/>
        <s v="Ahmedabad"/>
        <s v="Amreli"/>
        <s v="Anand"/>
        <s v="Aravalli"/>
        <s v="Banaskantha"/>
        <s v="Bharuch"/>
        <s v="Bhavnagar"/>
        <s v="Botad"/>
        <s v="Chhota Udaipur"/>
        <s v="Dahod"/>
        <s v="Dang"/>
        <s v="Devbhoo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Fatehabad"/>
        <s v="Gurugram"/>
        <s v="Hisar"/>
        <s v="Jhajjar"/>
        <s v="Jind"/>
        <s v="Kaithal"/>
        <s v="Karnal"/>
        <s v="Kurukshetra"/>
        <s v="Mahendragarh"/>
        <s v="Mewat"/>
        <s v="Palwal"/>
        <s v="Panchkula"/>
        <s v="Panipat"/>
        <s v="Rewari"/>
        <s v="Rohtak"/>
        <s v="Sirsa"/>
        <s v="Sonipat"/>
        <s v="Yamunanagar"/>
        <s v="Chamba"/>
        <s v="Hamirpur"/>
        <s v="Kangra"/>
        <s v="Kinnaur"/>
        <s v="Kullu"/>
        <s v="Lahaul Spiti"/>
        <s v="Mandi"/>
        <s v="Shimla"/>
        <s v="Sirmaur"/>
        <s v="Solan"/>
        <s v="Una"/>
        <s v="Anantnag"/>
        <s v="Bandipora"/>
        <s v="Baramulla"/>
        <s v="Budgam"/>
        <s v="Doda"/>
        <s v="Ganderbal"/>
        <s v="Jammu"/>
        <s v="Kathua"/>
        <s v="Kishtwar"/>
        <s v="Kulgam"/>
        <s v="Kupwara"/>
        <s v="Poonch"/>
        <s v="Pulwama"/>
        <s v="Rajouri"/>
        <s v="Ramban"/>
        <s v="Reasi"/>
        <s v="Samba"/>
        <s v="Shopian"/>
        <s v="Srinagar"/>
        <s v="Udhampur"/>
        <s v="Bokaro"/>
        <s v="Chatra"/>
        <s v="Deoghar"/>
        <s v="Dhanbad"/>
        <s v="Dumka"/>
        <s v="East Singhbhum"/>
        <s v="Garhwa"/>
        <s v="Giridih"/>
        <s v="Godda"/>
        <s v="Gumla"/>
        <s v="Hazaribagh"/>
        <s v="Jamtara"/>
        <s v="Khunti"/>
        <s v="Koderma"/>
        <s v="Latehar"/>
        <s v="Lohardaga"/>
        <s v="Pakur"/>
        <s v="Palamu"/>
        <s v="Ramgarh"/>
        <s v="Ranchi"/>
        <s v="Sahebganj"/>
        <s v="Seraikela Kharsawan"/>
        <s v="Simdega"/>
        <s v="West Singhbhum"/>
        <s v="Bagalkot"/>
        <s v="Bangalore Rural"/>
        <s v="Bangalore Urban"/>
        <s v="Belgaum"/>
        <s v="Bellary"/>
        <s v="Bidar"/>
        <s v="Chamarajanagar"/>
        <s v="Chikkaballapur"/>
        <s v="Chikkamagaluru"/>
        <s v="Chitradurga"/>
        <s v="Dakshina Kannada"/>
        <s v="Davanagere"/>
        <s v="Dharwad"/>
        <s v="Gadag"/>
        <s v="Gulbarga"/>
        <s v="Hassan"/>
        <s v="Haveri"/>
        <s v="Kodagu"/>
        <s v="Kolar"/>
        <s v="Koppal"/>
        <s v="Mandya"/>
        <s v="Mysore"/>
        <s v="Raichur"/>
        <s v="Ramanagara"/>
        <s v="Shimoga"/>
        <s v="Tumkur"/>
        <s v="Udupi"/>
        <s v="Uttara Kannada"/>
        <s v="Vijayapura "/>
        <s v="Yadgir"/>
        <s v="Alappuzha"/>
        <s v="Ernakulam"/>
        <s v="Idukki"/>
        <s v="Kannur"/>
        <s v="Kasaragod"/>
        <s v="Kollam"/>
        <s v="Kottayam"/>
        <s v="Kozhikode"/>
        <s v="Malappuram"/>
        <s v="Palakkad"/>
        <s v="Pathanamthitta"/>
        <s v="Thiruvananthapuram"/>
        <s v="Thrissur"/>
        <s v="Wayanad"/>
        <s v="Kargil"/>
        <s v="Leh"/>
        <s v="Lakshadweep"/>
        <s v="Agar Malwa"/>
        <s v="Alirajpur"/>
        <s v="Anuppur"/>
        <s v="Ashoknagar"/>
        <s v="Balaghat"/>
        <s v="Barwani"/>
        <s v="Betul"/>
        <s v="Bhind"/>
        <s v="Bhopal"/>
        <s v="Burhanpur"/>
        <s v="Chachaura"/>
        <s v="Chhatarpur"/>
        <s v="Chhindwara"/>
        <s v="Damoh"/>
        <s v="Datia"/>
        <s v="Dewas"/>
        <s v="Dhar"/>
        <s v="Dindori"/>
        <s v="Guna"/>
        <s v="Gwalior"/>
        <s v="Harda"/>
        <s v="Hoshangabad"/>
        <s v="Indore"/>
        <s v="Jabalpur"/>
        <s v="Jhabua"/>
        <s v="Katni"/>
        <s v="Khandwa"/>
        <s v="Khargone"/>
        <s v="Maihar"/>
        <s v="Mandla"/>
        <s v="Mandsaur"/>
        <s v="Morena"/>
        <s v="Nagda"/>
        <s v="Narsinghpur"/>
        <s v="Neemuch"/>
        <s v="Niwari"/>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City"/>
        <s v="Mumbai Suburban"/>
        <s v="Nagpur"/>
        <s v="Nanded"/>
        <s v="Nandurbar"/>
        <s v="Nashik"/>
        <s v="Osmanabad"/>
        <s v="Palghar"/>
        <s v="Parbhani"/>
        <s v="Pune"/>
        <s v="Raigad"/>
        <s v="Ratnagiri"/>
        <s v="Sangli"/>
        <s v="Satara"/>
        <s v="Sindhudurg"/>
        <s v="Solapur"/>
        <s v="Thane"/>
        <s v="Wardha"/>
        <s v="Washim"/>
        <s v="Yavatmal"/>
        <s v="Bishnupur"/>
        <s v="Chandel"/>
        <s v="Churachandpur"/>
        <s v="Imphal East"/>
        <s v="Imphal West"/>
        <s v="Jiribam"/>
        <s v="Kakching"/>
        <s v="Kamjong"/>
        <s v="Kangpokpi"/>
        <s v="Noney"/>
        <s v="Pherzawl"/>
        <s v="Senapati"/>
        <s v="Tamenglong"/>
        <s v="Tengnoupal"/>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ire"/>
        <s v="Kohima"/>
        <s v="Longleng"/>
        <s v="Mokokchung"/>
        <s v="Mon"/>
        <s v="Noklak"/>
        <s v="Peren"/>
        <s v="Phek"/>
        <s v="Tuensang"/>
        <s v="Wokha"/>
        <s v="Zunheboto"/>
        <s v="Angul"/>
        <s v="Balangir"/>
        <s v="Balasore"/>
        <s v="Bargarh"/>
        <s v="Bhadrak"/>
        <s v="Boudh"/>
        <s v="Cuttack"/>
        <s v="Debagarh"/>
        <s v="Dhenkanal"/>
        <s v="Gajapati"/>
        <s v="Ganjam"/>
        <s v="Jagatsinghpur"/>
        <s v="Jajpur"/>
        <s v="Jharsuguda"/>
        <s v="Kalahandi"/>
        <s v="Kandhamal"/>
        <s v="Kendrapara"/>
        <s v="Kendujhar"/>
        <s v="Khordha"/>
        <s v="Koraput"/>
        <s v="Malkangiri"/>
        <s v="Mayurbhanj"/>
        <s v="Nabarangpur"/>
        <s v="Nayagarh"/>
        <s v="Nuapada"/>
        <s v="Puri"/>
        <s v="Rayagada"/>
        <s v="Sambalpur"/>
        <s v="Subarnapur"/>
        <s v="Sundergarh"/>
        <s v="Karaikal"/>
        <s v="Mahe"/>
        <s v="Puducherry"/>
        <s v="Yanam"/>
        <s v="Amritsar"/>
        <s v="Barnala"/>
        <s v="Bathinda"/>
        <s v="Faridkot"/>
        <s v="Fatehgarh Sahib"/>
        <s v="Fazilka"/>
        <s v="Firozpur"/>
        <s v="Gurdaspur"/>
        <s v="Hoshiarpur"/>
        <s v="Jalandhar"/>
        <s v="Kapurthala"/>
        <s v="Ludhiana"/>
        <s v="Mansa"/>
        <s v="Moga"/>
        <s v="Mohali"/>
        <s v="Muktsar"/>
        <s v="Pathankot"/>
        <s v="Patiala"/>
        <s v="Rupnagar"/>
        <s v="Sangrur"/>
        <s v="Shaheed Bhagat Singh Nagar"/>
        <s v="Tarn Taran"/>
        <s v="Ajmer"/>
        <s v="Alwar"/>
        <s v="Banswara"/>
        <s v="Baran"/>
        <s v="Barmer"/>
        <s v="Bharatpur"/>
        <s v="Bhilwara"/>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East Sikkim"/>
        <s v="North Sikkim"/>
        <s v="South Sikkim"/>
        <s v="West Sikkim"/>
        <s v="Ariyalur"/>
        <s v="Chengalpattu"/>
        <s v="Chennai"/>
        <s v="Coimbatore"/>
        <s v="Cuddalore"/>
        <s v="Dharmapuri"/>
        <s v="Dindigul"/>
        <s v="Erode"/>
        <s v="Kallakurichi"/>
        <s v="Kanchipuram"/>
        <s v="Kanyakumari"/>
        <s v="Karur"/>
        <s v="Krishnagiri"/>
        <s v="Madurai"/>
        <s v="Mayiladuthurai "/>
        <s v="Nagapattinam"/>
        <s v="Namakkal"/>
        <s v="Nilgiris"/>
        <s v="Perambalur"/>
        <s v="Pudukkottai"/>
        <s v="Ramanathapuram"/>
        <s v="Ranipet"/>
        <s v="Salem"/>
        <s v="Sivaganga"/>
        <s v="Tenkasi"/>
        <s v="Thanjavur"/>
        <s v="Theni"/>
        <s v="Thoothukudi"/>
        <s v="Tiruchirappalli"/>
        <s v="Tirunelveli"/>
        <s v="Tirupattur"/>
        <s v="Tiruppur"/>
        <s v="Tiruvallur"/>
        <s v="Tiruvannamalai"/>
        <s v="Tiruvarur"/>
        <s v="Vellore"/>
        <s v="Viluppuram"/>
        <s v="Virudhunagar"/>
        <s v="Adilabad"/>
        <s v="Bhadradri Kothagudem"/>
        <s v="Hyderabad"/>
        <s v="Jagtial"/>
        <s v="Jangaon"/>
        <s v="Jayashankar"/>
        <s v="Jogulamba"/>
        <s v="Kamareddy"/>
        <s v="Karimnagar"/>
        <s v="Khammam"/>
        <s v="Komaram Bheem"/>
        <s v="Mahabubabad"/>
        <s v="Mahbubnagar"/>
        <s v="Mancherial"/>
        <s v="Medak"/>
        <s v="Medchal"/>
        <s v="Mulugu"/>
        <s v="Nagarkurnool"/>
        <s v="Nalgonda"/>
        <s v="Narayanpet"/>
        <s v="Nirmal"/>
        <s v="Nizamabad"/>
        <s v="Peddapalli"/>
        <s v="Rajanna Sircilla"/>
        <s v="Ranga Reddy"/>
        <s v="Sangareddy"/>
        <s v="Siddipet"/>
        <s v="Suryapet"/>
        <s v="Vikarabad"/>
        <s v="Wanaparthy"/>
        <s v="Warangal Rural"/>
        <s v="Warangal Urban"/>
        <s v="Yadadri Bhuvanagiri"/>
        <s v="Dhalai"/>
        <s v="Gomati"/>
        <s v="Khowai"/>
        <s v="North Tripura"/>
        <s v="Sepahijala"/>
        <s v="South Tripura"/>
        <s v="Unakoti"/>
        <s v="West Tripura"/>
        <s v="Agra"/>
        <s v="Aligarh"/>
        <s v="Ambedkar Nagar"/>
        <s v="Amethi"/>
        <s v="Amroha"/>
        <s v="Auraiya"/>
        <s v="Ayodhya"/>
        <s v="Azamgarh"/>
        <s v="Baghpat"/>
        <s v="Bahraich"/>
        <s v="Ballia"/>
        <s v="Banda"/>
        <s v="Barabanki"/>
        <s v="Bareilly"/>
        <s v="Basti"/>
        <s v="Bhadohi"/>
        <s v="Bijnor"/>
        <s v="Budaun"/>
        <s v="Bulandshahr"/>
        <s v="Chandauli"/>
        <s v="Chitrakoot"/>
        <s v="Deoria"/>
        <s v="Etah"/>
        <s v="Etawah"/>
        <s v="Farrukhabad"/>
        <s v="Fatehpur"/>
        <s v="Firozabad"/>
        <s v="Gautam Buddha Nagar"/>
        <s v="Ghaziabad"/>
        <s v="Ghazipur"/>
        <s v="Gonda"/>
        <s v="Gorakhpur"/>
        <s v="Hapur"/>
        <s v="Hardoi"/>
        <s v="Hathras"/>
        <s v="Jalaun"/>
        <s v="Jaunpur"/>
        <s v="Jhansi"/>
        <s v="Kannauj"/>
        <s v="Kanpur Dehat"/>
        <s v="Kanpur Nagar"/>
        <s v="Kasganj"/>
        <s v="Kaushambi"/>
        <s v="Kheri"/>
        <s v="Kushinagar"/>
        <s v="Lalitpur"/>
        <s v="Lucknow"/>
        <s v="Maharajganj"/>
        <s v="Mahoba"/>
        <s v="Mainpuri"/>
        <s v="Mathura"/>
        <s v="Mau"/>
        <s v="Meerut"/>
        <s v="Mirzapur"/>
        <s v="Moradabad"/>
        <s v="Muzaffarnagar"/>
        <s v="Pilibhit"/>
        <s v="Prayagraj"/>
        <s v="Raebareli"/>
        <s v="Rampur"/>
        <s v="Saharanpur"/>
        <s v="Sambhal"/>
        <s v="Sant Kabir Nagar"/>
        <s v="Shahjahanpur"/>
        <s v="Shamli"/>
        <s v="Shravasti"/>
        <s v="Siddharthnagar"/>
        <s v="Sitapur"/>
        <s v="Sonbhadra"/>
        <s v="Sultanpur"/>
        <s v="Unnao"/>
        <s v="Varanasi"/>
        <s v="Almora"/>
        <s v="Bageshwar"/>
        <s v="Chamoli"/>
        <s v="Champawat"/>
        <s v="Dehradun"/>
        <s v="Haridwar"/>
        <s v="Nainital"/>
        <s v="Pauri"/>
        <s v="Pithoragarh"/>
        <s v="Rudraprayag"/>
        <s v="Tehri"/>
        <s v="Udham Singh Nagar"/>
        <s v="Uttarkashi"/>
        <s v="Alipurduar"/>
        <s v="Bankura"/>
        <s v="Birbhum"/>
        <s v="Cooch Behar"/>
        <s v="Dakshin Dinajpur"/>
        <s v="Darjeeling"/>
        <s v="Hooghly"/>
        <s v="Howrah"/>
        <s v="Jalpaiguri"/>
        <s v="Jhargram"/>
        <s v="Kalimpong"/>
        <s v="Kolkata"/>
        <s v="Malda"/>
        <s v="Murshidabad"/>
        <s v="Nadia"/>
        <s v="North 24 Parganas"/>
        <s v="Paschim Bardhaman"/>
        <s v="Paschim Medinipur"/>
        <s v="Purba Bardhaman"/>
        <s v="Purba Medinipur"/>
        <s v="Purulia"/>
        <s v="South 24 Parganas"/>
        <s v="Uttar Dinajpur"/>
      </sharedItems>
    </cacheField>
    <cacheField name="Stat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6">
  <r>
    <x v="0"/>
    <x v="0"/>
    <s v="Union Territory"/>
  </r>
  <r>
    <x v="0"/>
    <x v="1"/>
    <s v="Union Territory"/>
  </r>
  <r>
    <x v="0"/>
    <x v="2"/>
    <s v="Union Territory"/>
  </r>
  <r>
    <x v="1"/>
    <x v="3"/>
    <s v="State"/>
  </r>
  <r>
    <x v="1"/>
    <x v="4"/>
    <s v="State"/>
  </r>
  <r>
    <x v="1"/>
    <x v="5"/>
    <s v="State"/>
  </r>
  <r>
    <x v="1"/>
    <x v="6"/>
    <s v="State"/>
  </r>
  <r>
    <x v="1"/>
    <x v="7"/>
    <s v="State"/>
  </r>
  <r>
    <x v="1"/>
    <x v="8"/>
    <s v="State"/>
  </r>
  <r>
    <x v="1"/>
    <x v="9"/>
    <s v="State"/>
  </r>
  <r>
    <x v="1"/>
    <x v="10"/>
    <s v="State"/>
  </r>
  <r>
    <x v="1"/>
    <x v="11"/>
    <s v="State"/>
  </r>
  <r>
    <x v="1"/>
    <x v="12"/>
    <s v="State"/>
  </r>
  <r>
    <x v="1"/>
    <x v="13"/>
    <s v="State"/>
  </r>
  <r>
    <x v="1"/>
    <x v="14"/>
    <s v="State"/>
  </r>
  <r>
    <x v="1"/>
    <x v="15"/>
    <s v="State"/>
  </r>
  <r>
    <x v="2"/>
    <x v="16"/>
    <s v="State"/>
  </r>
  <r>
    <x v="2"/>
    <x v="17"/>
    <s v="State"/>
  </r>
  <r>
    <x v="2"/>
    <x v="18"/>
    <s v="State"/>
  </r>
  <r>
    <x v="2"/>
    <x v="19"/>
    <s v="State"/>
  </r>
  <r>
    <x v="2"/>
    <x v="20"/>
    <s v="State"/>
  </r>
  <r>
    <x v="2"/>
    <x v="21"/>
    <s v="State"/>
  </r>
  <r>
    <x v="2"/>
    <x v="22"/>
    <s v="State"/>
  </r>
  <r>
    <x v="2"/>
    <x v="23"/>
    <s v="State"/>
  </r>
  <r>
    <x v="2"/>
    <x v="24"/>
    <s v="State"/>
  </r>
  <r>
    <x v="2"/>
    <x v="25"/>
    <s v="State"/>
  </r>
  <r>
    <x v="2"/>
    <x v="26"/>
    <s v="State"/>
  </r>
  <r>
    <x v="2"/>
    <x v="27"/>
    <s v="State"/>
  </r>
  <r>
    <x v="2"/>
    <x v="28"/>
    <s v="State"/>
  </r>
  <r>
    <x v="2"/>
    <x v="29"/>
    <s v="State"/>
  </r>
  <r>
    <x v="2"/>
    <x v="30"/>
    <s v="State"/>
  </r>
  <r>
    <x v="2"/>
    <x v="31"/>
    <s v="State"/>
  </r>
  <r>
    <x v="2"/>
    <x v="32"/>
    <s v="State"/>
  </r>
  <r>
    <x v="2"/>
    <x v="33"/>
    <s v="State"/>
  </r>
  <r>
    <x v="2"/>
    <x v="34"/>
    <s v="State"/>
  </r>
  <r>
    <x v="2"/>
    <x v="35"/>
    <s v="State"/>
  </r>
  <r>
    <x v="2"/>
    <x v="36"/>
    <s v="State"/>
  </r>
  <r>
    <x v="2"/>
    <x v="37"/>
    <s v="State"/>
  </r>
  <r>
    <x v="2"/>
    <x v="38"/>
    <s v="State"/>
  </r>
  <r>
    <x v="2"/>
    <x v="39"/>
    <s v="State"/>
  </r>
  <r>
    <x v="2"/>
    <x v="40"/>
    <s v="State"/>
  </r>
  <r>
    <x v="3"/>
    <x v="41"/>
    <s v="State"/>
  </r>
  <r>
    <x v="3"/>
    <x v="42"/>
    <s v="State"/>
  </r>
  <r>
    <x v="3"/>
    <x v="43"/>
    <s v="State"/>
  </r>
  <r>
    <x v="3"/>
    <x v="44"/>
    <s v="State"/>
  </r>
  <r>
    <x v="3"/>
    <x v="45"/>
    <s v="State"/>
  </r>
  <r>
    <x v="3"/>
    <x v="46"/>
    <s v="State"/>
  </r>
  <r>
    <x v="3"/>
    <x v="47"/>
    <s v="State"/>
  </r>
  <r>
    <x v="3"/>
    <x v="48"/>
    <s v="State"/>
  </r>
  <r>
    <x v="3"/>
    <x v="49"/>
    <s v="State"/>
  </r>
  <r>
    <x v="3"/>
    <x v="50"/>
    <s v="State"/>
  </r>
  <r>
    <x v="3"/>
    <x v="51"/>
    <s v="State"/>
  </r>
  <r>
    <x v="3"/>
    <x v="52"/>
    <s v="State"/>
  </r>
  <r>
    <x v="3"/>
    <x v="53"/>
    <s v="State"/>
  </r>
  <r>
    <x v="3"/>
    <x v="54"/>
    <s v="State"/>
  </r>
  <r>
    <x v="3"/>
    <x v="55"/>
    <s v="State"/>
  </r>
  <r>
    <x v="3"/>
    <x v="56"/>
    <s v="State"/>
  </r>
  <r>
    <x v="3"/>
    <x v="57"/>
    <s v="State"/>
  </r>
  <r>
    <x v="3"/>
    <x v="58"/>
    <s v="State"/>
  </r>
  <r>
    <x v="3"/>
    <x v="59"/>
    <s v="State"/>
  </r>
  <r>
    <x v="3"/>
    <x v="60"/>
    <s v="State"/>
  </r>
  <r>
    <x v="3"/>
    <x v="61"/>
    <s v="State"/>
  </r>
  <r>
    <x v="3"/>
    <x v="62"/>
    <s v="State"/>
  </r>
  <r>
    <x v="3"/>
    <x v="63"/>
    <s v="State"/>
  </r>
  <r>
    <x v="3"/>
    <x v="64"/>
    <s v="State"/>
  </r>
  <r>
    <x v="3"/>
    <x v="65"/>
    <s v="State"/>
  </r>
  <r>
    <x v="3"/>
    <x v="66"/>
    <s v="State"/>
  </r>
  <r>
    <x v="3"/>
    <x v="67"/>
    <s v="State"/>
  </r>
  <r>
    <x v="3"/>
    <x v="68"/>
    <s v="State"/>
  </r>
  <r>
    <x v="3"/>
    <x v="69"/>
    <s v="State"/>
  </r>
  <r>
    <x v="3"/>
    <x v="70"/>
    <s v="State"/>
  </r>
  <r>
    <x v="3"/>
    <x v="71"/>
    <s v="State"/>
  </r>
  <r>
    <x v="3"/>
    <x v="72"/>
    <s v="State"/>
  </r>
  <r>
    <x v="3"/>
    <x v="73"/>
    <s v="State"/>
  </r>
  <r>
    <x v="4"/>
    <x v="74"/>
    <s v="State"/>
  </r>
  <r>
    <x v="4"/>
    <x v="75"/>
    <s v="State"/>
  </r>
  <r>
    <x v="4"/>
    <x v="76"/>
    <s v="State"/>
  </r>
  <r>
    <x v="4"/>
    <x v="77"/>
    <s v="State"/>
  </r>
  <r>
    <x v="4"/>
    <x v="78"/>
    <s v="State"/>
  </r>
  <r>
    <x v="4"/>
    <x v="79"/>
    <s v="State"/>
  </r>
  <r>
    <x v="4"/>
    <x v="80"/>
    <s v="State"/>
  </r>
  <r>
    <x v="4"/>
    <x v="81"/>
    <s v="State"/>
  </r>
  <r>
    <x v="4"/>
    <x v="82"/>
    <s v="State"/>
  </r>
  <r>
    <x v="4"/>
    <x v="83"/>
    <s v="State"/>
  </r>
  <r>
    <x v="4"/>
    <x v="84"/>
    <s v="State"/>
  </r>
  <r>
    <x v="4"/>
    <x v="85"/>
    <s v="State"/>
  </r>
  <r>
    <x v="4"/>
    <x v="86"/>
    <s v="State"/>
  </r>
  <r>
    <x v="4"/>
    <x v="87"/>
    <s v="State"/>
  </r>
  <r>
    <x v="4"/>
    <x v="88"/>
    <s v="State"/>
  </r>
  <r>
    <x v="4"/>
    <x v="89"/>
    <s v="State"/>
  </r>
  <r>
    <x v="4"/>
    <x v="90"/>
    <s v="State"/>
  </r>
  <r>
    <x v="4"/>
    <x v="91"/>
    <s v="State"/>
  </r>
  <r>
    <x v="4"/>
    <x v="92"/>
    <s v="State"/>
  </r>
  <r>
    <x v="4"/>
    <x v="93"/>
    <s v="State"/>
  </r>
  <r>
    <x v="4"/>
    <x v="94"/>
    <s v="State"/>
  </r>
  <r>
    <x v="4"/>
    <x v="95"/>
    <s v="State"/>
  </r>
  <r>
    <x v="4"/>
    <x v="96"/>
    <s v="State"/>
  </r>
  <r>
    <x v="4"/>
    <x v="97"/>
    <s v="State"/>
  </r>
  <r>
    <x v="4"/>
    <x v="98"/>
    <s v="State"/>
  </r>
  <r>
    <x v="4"/>
    <x v="99"/>
    <s v="State"/>
  </r>
  <r>
    <x v="4"/>
    <x v="100"/>
    <s v="State"/>
  </r>
  <r>
    <x v="4"/>
    <x v="101"/>
    <s v="State"/>
  </r>
  <r>
    <x v="4"/>
    <x v="102"/>
    <s v="State"/>
  </r>
  <r>
    <x v="4"/>
    <x v="103"/>
    <s v="State"/>
  </r>
  <r>
    <x v="4"/>
    <x v="104"/>
    <s v="State"/>
  </r>
  <r>
    <x v="4"/>
    <x v="105"/>
    <s v="State"/>
  </r>
  <r>
    <x v="4"/>
    <x v="106"/>
    <s v="State"/>
  </r>
  <r>
    <x v="4"/>
    <x v="107"/>
    <s v="State"/>
  </r>
  <r>
    <x v="4"/>
    <x v="108"/>
    <s v="State"/>
  </r>
  <r>
    <x v="4"/>
    <x v="109"/>
    <s v="State"/>
  </r>
  <r>
    <x v="4"/>
    <x v="110"/>
    <s v="State"/>
  </r>
  <r>
    <x v="4"/>
    <x v="111"/>
    <s v="State"/>
  </r>
  <r>
    <x v="5"/>
    <x v="112"/>
    <s v="Union Territory"/>
  </r>
  <r>
    <x v="6"/>
    <x v="113"/>
    <s v="State"/>
  </r>
  <r>
    <x v="6"/>
    <x v="114"/>
    <s v="State"/>
  </r>
  <r>
    <x v="6"/>
    <x v="115"/>
    <s v="State"/>
  </r>
  <r>
    <x v="6"/>
    <x v="116"/>
    <s v="State"/>
  </r>
  <r>
    <x v="6"/>
    <x v="117"/>
    <s v="State"/>
  </r>
  <r>
    <x v="6"/>
    <x v="118"/>
    <s v="State"/>
  </r>
  <r>
    <x v="6"/>
    <x v="119"/>
    <s v="State"/>
  </r>
  <r>
    <x v="6"/>
    <x v="120"/>
    <s v="State"/>
  </r>
  <r>
    <x v="6"/>
    <x v="121"/>
    <s v="State"/>
  </r>
  <r>
    <x v="6"/>
    <x v="122"/>
    <s v="State"/>
  </r>
  <r>
    <x v="6"/>
    <x v="123"/>
    <s v="State"/>
  </r>
  <r>
    <x v="6"/>
    <x v="124"/>
    <s v="State"/>
  </r>
  <r>
    <x v="6"/>
    <x v="125"/>
    <s v="State"/>
  </r>
  <r>
    <x v="6"/>
    <x v="126"/>
    <s v="State"/>
  </r>
  <r>
    <x v="6"/>
    <x v="127"/>
    <s v="State"/>
  </r>
  <r>
    <x v="6"/>
    <x v="128"/>
    <s v="State"/>
  </r>
  <r>
    <x v="6"/>
    <x v="129"/>
    <s v="State"/>
  </r>
  <r>
    <x v="6"/>
    <x v="130"/>
    <s v="State"/>
  </r>
  <r>
    <x v="6"/>
    <x v="131"/>
    <s v="State"/>
  </r>
  <r>
    <x v="6"/>
    <x v="132"/>
    <s v="State"/>
  </r>
  <r>
    <x v="6"/>
    <x v="133"/>
    <s v="State"/>
  </r>
  <r>
    <x v="6"/>
    <x v="134"/>
    <s v="State"/>
  </r>
  <r>
    <x v="6"/>
    <x v="135"/>
    <s v="State"/>
  </r>
  <r>
    <x v="6"/>
    <x v="136"/>
    <s v="State"/>
  </r>
  <r>
    <x v="6"/>
    <x v="137"/>
    <s v="State"/>
  </r>
  <r>
    <x v="6"/>
    <x v="138"/>
    <s v="State"/>
  </r>
  <r>
    <x v="6"/>
    <x v="139"/>
    <s v="State"/>
  </r>
  <r>
    <x v="6"/>
    <x v="140"/>
    <s v="State"/>
  </r>
  <r>
    <x v="7"/>
    <x v="141"/>
    <s v="Union Territory"/>
  </r>
  <r>
    <x v="8"/>
    <x v="142"/>
    <s v="Union Territory"/>
  </r>
  <r>
    <x v="8"/>
    <x v="143"/>
    <s v="Union Territory"/>
  </r>
  <r>
    <x v="9"/>
    <x v="144"/>
    <s v="Union Territory"/>
  </r>
  <r>
    <x v="9"/>
    <x v="145"/>
    <s v="Union Territory"/>
  </r>
  <r>
    <x v="9"/>
    <x v="146"/>
    <s v="Union Territory"/>
  </r>
  <r>
    <x v="9"/>
    <x v="147"/>
    <s v="Union Territory"/>
  </r>
  <r>
    <x v="9"/>
    <x v="148"/>
    <s v="Union Territory"/>
  </r>
  <r>
    <x v="9"/>
    <x v="149"/>
    <s v="Union Territory"/>
  </r>
  <r>
    <x v="9"/>
    <x v="150"/>
    <s v="Union Territory"/>
  </r>
  <r>
    <x v="9"/>
    <x v="151"/>
    <s v="Union Territory"/>
  </r>
  <r>
    <x v="9"/>
    <x v="152"/>
    <s v="Union Territory"/>
  </r>
  <r>
    <x v="9"/>
    <x v="153"/>
    <s v="Union Territory"/>
  </r>
  <r>
    <x v="9"/>
    <x v="154"/>
    <s v="Union Territory"/>
  </r>
  <r>
    <x v="10"/>
    <x v="155"/>
    <s v="State"/>
  </r>
  <r>
    <x v="10"/>
    <x v="156"/>
    <s v="State"/>
  </r>
  <r>
    <x v="11"/>
    <x v="157"/>
    <s v="State"/>
  </r>
  <r>
    <x v="11"/>
    <x v="158"/>
    <s v="State"/>
  </r>
  <r>
    <x v="11"/>
    <x v="159"/>
    <s v="State"/>
  </r>
  <r>
    <x v="11"/>
    <x v="160"/>
    <s v="State"/>
  </r>
  <r>
    <x v="11"/>
    <x v="161"/>
    <s v="State"/>
  </r>
  <r>
    <x v="11"/>
    <x v="162"/>
    <s v="State"/>
  </r>
  <r>
    <x v="11"/>
    <x v="163"/>
    <s v="State"/>
  </r>
  <r>
    <x v="11"/>
    <x v="164"/>
    <s v="State"/>
  </r>
  <r>
    <x v="11"/>
    <x v="165"/>
    <s v="State"/>
  </r>
  <r>
    <x v="11"/>
    <x v="166"/>
    <s v="State"/>
  </r>
  <r>
    <x v="11"/>
    <x v="167"/>
    <s v="State"/>
  </r>
  <r>
    <x v="11"/>
    <x v="168"/>
    <s v="State"/>
  </r>
  <r>
    <x v="11"/>
    <x v="169"/>
    <s v="State"/>
  </r>
  <r>
    <x v="11"/>
    <x v="170"/>
    <s v="State"/>
  </r>
  <r>
    <x v="11"/>
    <x v="171"/>
    <s v="State"/>
  </r>
  <r>
    <x v="11"/>
    <x v="172"/>
    <s v="State"/>
  </r>
  <r>
    <x v="11"/>
    <x v="173"/>
    <s v="State"/>
  </r>
  <r>
    <x v="11"/>
    <x v="174"/>
    <s v="State"/>
  </r>
  <r>
    <x v="11"/>
    <x v="175"/>
    <s v="State"/>
  </r>
  <r>
    <x v="11"/>
    <x v="176"/>
    <s v="State"/>
  </r>
  <r>
    <x v="11"/>
    <x v="177"/>
    <s v="State"/>
  </r>
  <r>
    <x v="11"/>
    <x v="178"/>
    <s v="State"/>
  </r>
  <r>
    <x v="11"/>
    <x v="179"/>
    <s v="State"/>
  </r>
  <r>
    <x v="11"/>
    <x v="180"/>
    <s v="State"/>
  </r>
  <r>
    <x v="11"/>
    <x v="181"/>
    <s v="State"/>
  </r>
  <r>
    <x v="11"/>
    <x v="182"/>
    <s v="State"/>
  </r>
  <r>
    <x v="11"/>
    <x v="183"/>
    <s v="State"/>
  </r>
  <r>
    <x v="11"/>
    <x v="184"/>
    <s v="State"/>
  </r>
  <r>
    <x v="11"/>
    <x v="185"/>
    <s v="State"/>
  </r>
  <r>
    <x v="11"/>
    <x v="186"/>
    <s v="State"/>
  </r>
  <r>
    <x v="11"/>
    <x v="187"/>
    <s v="State"/>
  </r>
  <r>
    <x v="11"/>
    <x v="188"/>
    <s v="State"/>
  </r>
  <r>
    <x v="11"/>
    <x v="189"/>
    <s v="State"/>
  </r>
  <r>
    <x v="12"/>
    <x v="190"/>
    <s v="State"/>
  </r>
  <r>
    <x v="12"/>
    <x v="191"/>
    <s v="State"/>
  </r>
  <r>
    <x v="12"/>
    <x v="192"/>
    <s v="State"/>
  </r>
  <r>
    <x v="12"/>
    <x v="193"/>
    <s v="State"/>
  </r>
  <r>
    <x v="12"/>
    <x v="194"/>
    <s v="State"/>
  </r>
  <r>
    <x v="12"/>
    <x v="195"/>
    <s v="State"/>
  </r>
  <r>
    <x v="12"/>
    <x v="196"/>
    <s v="State"/>
  </r>
  <r>
    <x v="12"/>
    <x v="197"/>
    <s v="State"/>
  </r>
  <r>
    <x v="12"/>
    <x v="198"/>
    <s v="State"/>
  </r>
  <r>
    <x v="12"/>
    <x v="199"/>
    <s v="State"/>
  </r>
  <r>
    <x v="12"/>
    <x v="200"/>
    <s v="State"/>
  </r>
  <r>
    <x v="12"/>
    <x v="201"/>
    <s v="State"/>
  </r>
  <r>
    <x v="12"/>
    <x v="202"/>
    <s v="State"/>
  </r>
  <r>
    <x v="12"/>
    <x v="203"/>
    <s v="State"/>
  </r>
  <r>
    <x v="12"/>
    <x v="204"/>
    <s v="State"/>
  </r>
  <r>
    <x v="12"/>
    <x v="205"/>
    <s v="State"/>
  </r>
  <r>
    <x v="12"/>
    <x v="206"/>
    <s v="State"/>
  </r>
  <r>
    <x v="12"/>
    <x v="207"/>
    <s v="State"/>
  </r>
  <r>
    <x v="12"/>
    <x v="208"/>
    <s v="State"/>
  </r>
  <r>
    <x v="12"/>
    <x v="209"/>
    <s v="State"/>
  </r>
  <r>
    <x v="12"/>
    <x v="210"/>
    <s v="State"/>
  </r>
  <r>
    <x v="12"/>
    <x v="211"/>
    <s v="State"/>
  </r>
  <r>
    <x v="13"/>
    <x v="119"/>
    <s v="State"/>
  </r>
  <r>
    <x v="13"/>
    <x v="212"/>
    <s v="State"/>
  </r>
  <r>
    <x v="13"/>
    <x v="213"/>
    <s v="State"/>
  </r>
  <r>
    <x v="13"/>
    <x v="214"/>
    <s v="State"/>
  </r>
  <r>
    <x v="13"/>
    <x v="215"/>
    <s v="State"/>
  </r>
  <r>
    <x v="13"/>
    <x v="216"/>
    <s v="State"/>
  </r>
  <r>
    <x v="13"/>
    <x v="217"/>
    <s v="State"/>
  </r>
  <r>
    <x v="13"/>
    <x v="218"/>
    <s v="State"/>
  </r>
  <r>
    <x v="13"/>
    <x v="219"/>
    <s v="State"/>
  </r>
  <r>
    <x v="13"/>
    <x v="220"/>
    <s v="State"/>
  </r>
  <r>
    <x v="13"/>
    <x v="221"/>
    <s v="State"/>
  </r>
  <r>
    <x v="13"/>
    <x v="222"/>
    <s v="State"/>
  </r>
  <r>
    <x v="14"/>
    <x v="223"/>
    <s v="Union Territory"/>
  </r>
  <r>
    <x v="14"/>
    <x v="224"/>
    <s v="Union Territory"/>
  </r>
  <r>
    <x v="14"/>
    <x v="225"/>
    <s v="Union Territory"/>
  </r>
  <r>
    <x v="14"/>
    <x v="226"/>
    <s v="Union Territory"/>
  </r>
  <r>
    <x v="14"/>
    <x v="227"/>
    <s v="Union Territory"/>
  </r>
  <r>
    <x v="14"/>
    <x v="228"/>
    <s v="Union Territory"/>
  </r>
  <r>
    <x v="14"/>
    <x v="229"/>
    <s v="Union Territory"/>
  </r>
  <r>
    <x v="14"/>
    <x v="230"/>
    <s v="Union Territory"/>
  </r>
  <r>
    <x v="14"/>
    <x v="231"/>
    <s v="Union Territory"/>
  </r>
  <r>
    <x v="14"/>
    <x v="232"/>
    <s v="Union Territory"/>
  </r>
  <r>
    <x v="14"/>
    <x v="233"/>
    <s v="Union Territory"/>
  </r>
  <r>
    <x v="14"/>
    <x v="234"/>
    <s v="Union Territory"/>
  </r>
  <r>
    <x v="14"/>
    <x v="235"/>
    <s v="Union Territory"/>
  </r>
  <r>
    <x v="14"/>
    <x v="236"/>
    <s v="Union Territory"/>
  </r>
  <r>
    <x v="14"/>
    <x v="237"/>
    <s v="Union Territory"/>
  </r>
  <r>
    <x v="14"/>
    <x v="238"/>
    <s v="Union Territory"/>
  </r>
  <r>
    <x v="14"/>
    <x v="239"/>
    <s v="Union Territory"/>
  </r>
  <r>
    <x v="14"/>
    <x v="240"/>
    <s v="Union Territory"/>
  </r>
  <r>
    <x v="14"/>
    <x v="241"/>
    <s v="Union Territory"/>
  </r>
  <r>
    <x v="14"/>
    <x v="242"/>
    <s v="Union Territory"/>
  </r>
  <r>
    <x v="15"/>
    <x v="243"/>
    <s v="State"/>
  </r>
  <r>
    <x v="15"/>
    <x v="244"/>
    <s v="State"/>
  </r>
  <r>
    <x v="15"/>
    <x v="245"/>
    <s v="State"/>
  </r>
  <r>
    <x v="15"/>
    <x v="246"/>
    <s v="State"/>
  </r>
  <r>
    <x v="15"/>
    <x v="247"/>
    <s v="State"/>
  </r>
  <r>
    <x v="15"/>
    <x v="248"/>
    <s v="State"/>
  </r>
  <r>
    <x v="15"/>
    <x v="249"/>
    <s v="State"/>
  </r>
  <r>
    <x v="15"/>
    <x v="250"/>
    <s v="State"/>
  </r>
  <r>
    <x v="15"/>
    <x v="251"/>
    <s v="State"/>
  </r>
  <r>
    <x v="15"/>
    <x v="252"/>
    <s v="State"/>
  </r>
  <r>
    <x v="15"/>
    <x v="253"/>
    <s v="State"/>
  </r>
  <r>
    <x v="15"/>
    <x v="254"/>
    <s v="State"/>
  </r>
  <r>
    <x v="15"/>
    <x v="255"/>
    <s v="State"/>
  </r>
  <r>
    <x v="15"/>
    <x v="256"/>
    <s v="State"/>
  </r>
  <r>
    <x v="15"/>
    <x v="257"/>
    <s v="State"/>
  </r>
  <r>
    <x v="15"/>
    <x v="258"/>
    <s v="State"/>
  </r>
  <r>
    <x v="15"/>
    <x v="259"/>
    <s v="State"/>
  </r>
  <r>
    <x v="15"/>
    <x v="260"/>
    <s v="State"/>
  </r>
  <r>
    <x v="15"/>
    <x v="261"/>
    <s v="State"/>
  </r>
  <r>
    <x v="15"/>
    <x v="262"/>
    <s v="State"/>
  </r>
  <r>
    <x v="15"/>
    <x v="263"/>
    <s v="State"/>
  </r>
  <r>
    <x v="15"/>
    <x v="264"/>
    <s v="State"/>
  </r>
  <r>
    <x v="15"/>
    <x v="265"/>
    <s v="State"/>
  </r>
  <r>
    <x v="15"/>
    <x v="266"/>
    <s v="State"/>
  </r>
  <r>
    <x v="16"/>
    <x v="267"/>
    <s v="State"/>
  </r>
  <r>
    <x v="16"/>
    <x v="268"/>
    <s v="State"/>
  </r>
  <r>
    <x v="16"/>
    <x v="269"/>
    <s v="State"/>
  </r>
  <r>
    <x v="16"/>
    <x v="270"/>
    <s v="State"/>
  </r>
  <r>
    <x v="16"/>
    <x v="271"/>
    <s v="State"/>
  </r>
  <r>
    <x v="16"/>
    <x v="272"/>
    <s v="State"/>
  </r>
  <r>
    <x v="16"/>
    <x v="273"/>
    <s v="State"/>
  </r>
  <r>
    <x v="16"/>
    <x v="274"/>
    <s v="State"/>
  </r>
  <r>
    <x v="16"/>
    <x v="275"/>
    <s v="State"/>
  </r>
  <r>
    <x v="16"/>
    <x v="276"/>
    <s v="State"/>
  </r>
  <r>
    <x v="16"/>
    <x v="277"/>
    <s v="State"/>
  </r>
  <r>
    <x v="16"/>
    <x v="278"/>
    <s v="State"/>
  </r>
  <r>
    <x v="16"/>
    <x v="279"/>
    <s v="State"/>
  </r>
  <r>
    <x v="16"/>
    <x v="280"/>
    <s v="State"/>
  </r>
  <r>
    <x v="16"/>
    <x v="281"/>
    <s v="State"/>
  </r>
  <r>
    <x v="16"/>
    <x v="282"/>
    <s v="State"/>
  </r>
  <r>
    <x v="16"/>
    <x v="283"/>
    <s v="State"/>
  </r>
  <r>
    <x v="16"/>
    <x v="284"/>
    <s v="State"/>
  </r>
  <r>
    <x v="16"/>
    <x v="285"/>
    <s v="State"/>
  </r>
  <r>
    <x v="16"/>
    <x v="286"/>
    <s v="State"/>
  </r>
  <r>
    <x v="16"/>
    <x v="287"/>
    <s v="State"/>
  </r>
  <r>
    <x v="16"/>
    <x v="288"/>
    <s v="State"/>
  </r>
  <r>
    <x v="16"/>
    <x v="289"/>
    <s v="State"/>
  </r>
  <r>
    <x v="16"/>
    <x v="290"/>
    <s v="State"/>
  </r>
  <r>
    <x v="16"/>
    <x v="291"/>
    <s v="State"/>
  </r>
  <r>
    <x v="16"/>
    <x v="292"/>
    <s v="State"/>
  </r>
  <r>
    <x v="16"/>
    <x v="293"/>
    <s v="State"/>
  </r>
  <r>
    <x v="16"/>
    <x v="294"/>
    <s v="State"/>
  </r>
  <r>
    <x v="16"/>
    <x v="295"/>
    <s v="State"/>
  </r>
  <r>
    <x v="16"/>
    <x v="296"/>
    <s v="State"/>
  </r>
  <r>
    <x v="17"/>
    <x v="297"/>
    <s v="State"/>
  </r>
  <r>
    <x v="17"/>
    <x v="298"/>
    <s v="State"/>
  </r>
  <r>
    <x v="17"/>
    <x v="299"/>
    <s v="State"/>
  </r>
  <r>
    <x v="17"/>
    <x v="300"/>
    <s v="State"/>
  </r>
  <r>
    <x v="17"/>
    <x v="301"/>
    <s v="State"/>
  </r>
  <r>
    <x v="17"/>
    <x v="302"/>
    <s v="State"/>
  </r>
  <r>
    <x v="17"/>
    <x v="303"/>
    <s v="State"/>
  </r>
  <r>
    <x v="17"/>
    <x v="304"/>
    <s v="State"/>
  </r>
  <r>
    <x v="17"/>
    <x v="305"/>
    <s v="State"/>
  </r>
  <r>
    <x v="17"/>
    <x v="306"/>
    <s v="State"/>
  </r>
  <r>
    <x v="17"/>
    <x v="307"/>
    <s v="State"/>
  </r>
  <r>
    <x v="17"/>
    <x v="308"/>
    <s v="State"/>
  </r>
  <r>
    <x v="17"/>
    <x v="309"/>
    <s v="State"/>
  </r>
  <r>
    <x v="17"/>
    <x v="310"/>
    <s v="State"/>
  </r>
  <r>
    <x v="18"/>
    <x v="311"/>
    <s v="Union Territory"/>
  </r>
  <r>
    <x v="18"/>
    <x v="312"/>
    <s v="Union Territory"/>
  </r>
  <r>
    <x v="19"/>
    <x v="313"/>
    <s v="Union Territory"/>
  </r>
  <r>
    <x v="20"/>
    <x v="314"/>
    <s v="State"/>
  </r>
  <r>
    <x v="20"/>
    <x v="315"/>
    <s v="State"/>
  </r>
  <r>
    <x v="20"/>
    <x v="316"/>
    <s v="State"/>
  </r>
  <r>
    <x v="20"/>
    <x v="317"/>
    <s v="State"/>
  </r>
  <r>
    <x v="20"/>
    <x v="318"/>
    <s v="State"/>
  </r>
  <r>
    <x v="20"/>
    <x v="319"/>
    <s v="State"/>
  </r>
  <r>
    <x v="20"/>
    <x v="320"/>
    <s v="State"/>
  </r>
  <r>
    <x v="20"/>
    <x v="321"/>
    <s v="State"/>
  </r>
  <r>
    <x v="20"/>
    <x v="322"/>
    <s v="State"/>
  </r>
  <r>
    <x v="20"/>
    <x v="323"/>
    <s v="State"/>
  </r>
  <r>
    <x v="20"/>
    <x v="324"/>
    <s v="State"/>
  </r>
  <r>
    <x v="20"/>
    <x v="325"/>
    <s v="State"/>
  </r>
  <r>
    <x v="20"/>
    <x v="326"/>
    <s v="State"/>
  </r>
  <r>
    <x v="20"/>
    <x v="327"/>
    <s v="State"/>
  </r>
  <r>
    <x v="20"/>
    <x v="328"/>
    <s v="State"/>
  </r>
  <r>
    <x v="20"/>
    <x v="329"/>
    <s v="State"/>
  </r>
  <r>
    <x v="20"/>
    <x v="330"/>
    <s v="State"/>
  </r>
  <r>
    <x v="20"/>
    <x v="331"/>
    <s v="State"/>
  </r>
  <r>
    <x v="20"/>
    <x v="332"/>
    <s v="State"/>
  </r>
  <r>
    <x v="20"/>
    <x v="333"/>
    <s v="State"/>
  </r>
  <r>
    <x v="20"/>
    <x v="334"/>
    <s v="State"/>
  </r>
  <r>
    <x v="20"/>
    <x v="335"/>
    <s v="State"/>
  </r>
  <r>
    <x v="20"/>
    <x v="336"/>
    <s v="State"/>
  </r>
  <r>
    <x v="20"/>
    <x v="337"/>
    <s v="State"/>
  </r>
  <r>
    <x v="20"/>
    <x v="338"/>
    <s v="State"/>
  </r>
  <r>
    <x v="20"/>
    <x v="339"/>
    <s v="State"/>
  </r>
  <r>
    <x v="20"/>
    <x v="340"/>
    <s v="State"/>
  </r>
  <r>
    <x v="20"/>
    <x v="341"/>
    <s v="State"/>
  </r>
  <r>
    <x v="20"/>
    <x v="342"/>
    <s v="State"/>
  </r>
  <r>
    <x v="20"/>
    <x v="343"/>
    <s v="State"/>
  </r>
  <r>
    <x v="20"/>
    <x v="344"/>
    <s v="State"/>
  </r>
  <r>
    <x v="20"/>
    <x v="345"/>
    <s v="State"/>
  </r>
  <r>
    <x v="20"/>
    <x v="346"/>
    <s v="State"/>
  </r>
  <r>
    <x v="20"/>
    <x v="347"/>
    <s v="State"/>
  </r>
  <r>
    <x v="20"/>
    <x v="348"/>
    <s v="State"/>
  </r>
  <r>
    <x v="20"/>
    <x v="349"/>
    <s v="State"/>
  </r>
  <r>
    <x v="20"/>
    <x v="350"/>
    <s v="State"/>
  </r>
  <r>
    <x v="20"/>
    <x v="351"/>
    <s v="State"/>
  </r>
  <r>
    <x v="20"/>
    <x v="352"/>
    <s v="State"/>
  </r>
  <r>
    <x v="20"/>
    <x v="353"/>
    <s v="State"/>
  </r>
  <r>
    <x v="20"/>
    <x v="354"/>
    <s v="State"/>
  </r>
  <r>
    <x v="20"/>
    <x v="355"/>
    <s v="State"/>
  </r>
  <r>
    <x v="20"/>
    <x v="356"/>
    <s v="State"/>
  </r>
  <r>
    <x v="20"/>
    <x v="357"/>
    <s v="State"/>
  </r>
  <r>
    <x v="20"/>
    <x v="358"/>
    <s v="State"/>
  </r>
  <r>
    <x v="20"/>
    <x v="359"/>
    <s v="State"/>
  </r>
  <r>
    <x v="20"/>
    <x v="360"/>
    <s v="State"/>
  </r>
  <r>
    <x v="20"/>
    <x v="361"/>
    <s v="State"/>
  </r>
  <r>
    <x v="20"/>
    <x v="362"/>
    <s v="State"/>
  </r>
  <r>
    <x v="20"/>
    <x v="363"/>
    <s v="State"/>
  </r>
  <r>
    <x v="20"/>
    <x v="364"/>
    <s v="State"/>
  </r>
  <r>
    <x v="20"/>
    <x v="365"/>
    <s v="State"/>
  </r>
  <r>
    <x v="20"/>
    <x v="366"/>
    <s v="State"/>
  </r>
  <r>
    <x v="20"/>
    <x v="367"/>
    <s v="State"/>
  </r>
  <r>
    <x v="20"/>
    <x v="368"/>
    <s v="State"/>
  </r>
  <r>
    <x v="21"/>
    <x v="369"/>
    <s v="State"/>
  </r>
  <r>
    <x v="21"/>
    <x v="370"/>
    <s v="State"/>
  </r>
  <r>
    <x v="21"/>
    <x v="371"/>
    <s v="State"/>
  </r>
  <r>
    <x v="21"/>
    <x v="76"/>
    <s v="State"/>
  </r>
  <r>
    <x v="21"/>
    <x v="372"/>
    <s v="State"/>
  </r>
  <r>
    <x v="21"/>
    <x v="373"/>
    <s v="State"/>
  </r>
  <r>
    <x v="21"/>
    <x v="374"/>
    <s v="State"/>
  </r>
  <r>
    <x v="21"/>
    <x v="375"/>
    <s v="State"/>
  </r>
  <r>
    <x v="21"/>
    <x v="376"/>
    <s v="State"/>
  </r>
  <r>
    <x v="21"/>
    <x v="377"/>
    <s v="State"/>
  </r>
  <r>
    <x v="21"/>
    <x v="378"/>
    <s v="State"/>
  </r>
  <r>
    <x v="21"/>
    <x v="379"/>
    <s v="State"/>
  </r>
  <r>
    <x v="21"/>
    <x v="380"/>
    <s v="State"/>
  </r>
  <r>
    <x v="21"/>
    <x v="381"/>
    <s v="State"/>
  </r>
  <r>
    <x v="21"/>
    <x v="382"/>
    <s v="State"/>
  </r>
  <r>
    <x v="21"/>
    <x v="383"/>
    <s v="State"/>
  </r>
  <r>
    <x v="21"/>
    <x v="384"/>
    <s v="State"/>
  </r>
  <r>
    <x v="21"/>
    <x v="385"/>
    <s v="State"/>
  </r>
  <r>
    <x v="21"/>
    <x v="386"/>
    <s v="State"/>
  </r>
  <r>
    <x v="21"/>
    <x v="387"/>
    <s v="State"/>
  </r>
  <r>
    <x v="21"/>
    <x v="388"/>
    <s v="State"/>
  </r>
  <r>
    <x v="21"/>
    <x v="389"/>
    <s v="State"/>
  </r>
  <r>
    <x v="21"/>
    <x v="390"/>
    <s v="State"/>
  </r>
  <r>
    <x v="21"/>
    <x v="391"/>
    <s v="State"/>
  </r>
  <r>
    <x v="21"/>
    <x v="392"/>
    <s v="State"/>
  </r>
  <r>
    <x v="21"/>
    <x v="393"/>
    <s v="State"/>
  </r>
  <r>
    <x v="21"/>
    <x v="394"/>
    <s v="State"/>
  </r>
  <r>
    <x v="21"/>
    <x v="395"/>
    <s v="State"/>
  </r>
  <r>
    <x v="21"/>
    <x v="396"/>
    <s v="State"/>
  </r>
  <r>
    <x v="21"/>
    <x v="397"/>
    <s v="State"/>
  </r>
  <r>
    <x v="21"/>
    <x v="398"/>
    <s v="State"/>
  </r>
  <r>
    <x v="21"/>
    <x v="399"/>
    <s v="State"/>
  </r>
  <r>
    <x v="21"/>
    <x v="400"/>
    <s v="State"/>
  </r>
  <r>
    <x v="21"/>
    <x v="401"/>
    <s v="State"/>
  </r>
  <r>
    <x v="21"/>
    <x v="402"/>
    <s v="State"/>
  </r>
  <r>
    <x v="21"/>
    <x v="403"/>
    <s v="State"/>
  </r>
  <r>
    <x v="22"/>
    <x v="404"/>
    <s v="State"/>
  </r>
  <r>
    <x v="22"/>
    <x v="405"/>
    <s v="State"/>
  </r>
  <r>
    <x v="22"/>
    <x v="406"/>
    <s v="State"/>
  </r>
  <r>
    <x v="22"/>
    <x v="407"/>
    <s v="State"/>
  </r>
  <r>
    <x v="22"/>
    <x v="408"/>
    <s v="State"/>
  </r>
  <r>
    <x v="22"/>
    <x v="409"/>
    <s v="State"/>
  </r>
  <r>
    <x v="22"/>
    <x v="410"/>
    <s v="State"/>
  </r>
  <r>
    <x v="22"/>
    <x v="411"/>
    <s v="State"/>
  </r>
  <r>
    <x v="22"/>
    <x v="412"/>
    <s v="State"/>
  </r>
  <r>
    <x v="22"/>
    <x v="413"/>
    <s v="State"/>
  </r>
  <r>
    <x v="22"/>
    <x v="414"/>
    <s v="State"/>
  </r>
  <r>
    <x v="22"/>
    <x v="415"/>
    <s v="State"/>
  </r>
  <r>
    <x v="22"/>
    <x v="416"/>
    <s v="State"/>
  </r>
  <r>
    <x v="22"/>
    <x v="417"/>
    <s v="State"/>
  </r>
  <r>
    <x v="22"/>
    <x v="418"/>
    <s v="State"/>
  </r>
  <r>
    <x v="22"/>
    <x v="419"/>
    <s v="State"/>
  </r>
  <r>
    <x v="23"/>
    <x v="420"/>
    <s v="State"/>
  </r>
  <r>
    <x v="23"/>
    <x v="421"/>
    <s v="State"/>
  </r>
  <r>
    <x v="23"/>
    <x v="422"/>
    <s v="State"/>
  </r>
  <r>
    <x v="23"/>
    <x v="423"/>
    <s v="State"/>
  </r>
  <r>
    <x v="23"/>
    <x v="424"/>
    <s v="State"/>
  </r>
  <r>
    <x v="23"/>
    <x v="425"/>
    <s v="State"/>
  </r>
  <r>
    <x v="23"/>
    <x v="426"/>
    <s v="State"/>
  </r>
  <r>
    <x v="23"/>
    <x v="427"/>
    <s v="State"/>
  </r>
  <r>
    <x v="23"/>
    <x v="428"/>
    <s v="State"/>
  </r>
  <r>
    <x v="23"/>
    <x v="429"/>
    <s v="State"/>
  </r>
  <r>
    <x v="23"/>
    <x v="430"/>
    <s v="State"/>
  </r>
  <r>
    <x v="24"/>
    <x v="431"/>
    <s v="State"/>
  </r>
  <r>
    <x v="24"/>
    <x v="432"/>
    <s v="State"/>
  </r>
  <r>
    <x v="24"/>
    <x v="433"/>
    <s v="State"/>
  </r>
  <r>
    <x v="24"/>
    <x v="434"/>
    <s v="State"/>
  </r>
  <r>
    <x v="24"/>
    <x v="435"/>
    <s v="State"/>
  </r>
  <r>
    <x v="24"/>
    <x v="436"/>
    <s v="State"/>
  </r>
  <r>
    <x v="24"/>
    <x v="437"/>
    <s v="State"/>
  </r>
  <r>
    <x v="24"/>
    <x v="438"/>
    <s v="State"/>
  </r>
  <r>
    <x v="25"/>
    <x v="439"/>
    <s v="State"/>
  </r>
  <r>
    <x v="25"/>
    <x v="440"/>
    <s v="State"/>
  </r>
  <r>
    <x v="25"/>
    <x v="441"/>
    <s v="State"/>
  </r>
  <r>
    <x v="25"/>
    <x v="442"/>
    <s v="State"/>
  </r>
  <r>
    <x v="25"/>
    <x v="443"/>
    <s v="State"/>
  </r>
  <r>
    <x v="25"/>
    <x v="444"/>
    <s v="State"/>
  </r>
  <r>
    <x v="25"/>
    <x v="445"/>
    <s v="State"/>
  </r>
  <r>
    <x v="25"/>
    <x v="446"/>
    <s v="State"/>
  </r>
  <r>
    <x v="25"/>
    <x v="447"/>
    <s v="State"/>
  </r>
  <r>
    <x v="25"/>
    <x v="448"/>
    <s v="State"/>
  </r>
  <r>
    <x v="25"/>
    <x v="449"/>
    <s v="State"/>
  </r>
  <r>
    <x v="25"/>
    <x v="450"/>
    <s v="State"/>
  </r>
  <r>
    <x v="26"/>
    <x v="451"/>
    <s v="State"/>
  </r>
  <r>
    <x v="26"/>
    <x v="452"/>
    <s v="State"/>
  </r>
  <r>
    <x v="26"/>
    <x v="453"/>
    <s v="State"/>
  </r>
  <r>
    <x v="26"/>
    <x v="454"/>
    <s v="State"/>
  </r>
  <r>
    <x v="26"/>
    <x v="455"/>
    <s v="State"/>
  </r>
  <r>
    <x v="26"/>
    <x v="456"/>
    <s v="State"/>
  </r>
  <r>
    <x v="26"/>
    <x v="457"/>
    <s v="State"/>
  </r>
  <r>
    <x v="26"/>
    <x v="458"/>
    <s v="State"/>
  </r>
  <r>
    <x v="26"/>
    <x v="459"/>
    <s v="State"/>
  </r>
  <r>
    <x v="26"/>
    <x v="460"/>
    <s v="State"/>
  </r>
  <r>
    <x v="26"/>
    <x v="461"/>
    <s v="State"/>
  </r>
  <r>
    <x v="26"/>
    <x v="462"/>
    <s v="State"/>
  </r>
  <r>
    <x v="26"/>
    <x v="463"/>
    <s v="State"/>
  </r>
  <r>
    <x v="26"/>
    <x v="464"/>
    <s v="State"/>
  </r>
  <r>
    <x v="26"/>
    <x v="465"/>
    <s v="State"/>
  </r>
  <r>
    <x v="26"/>
    <x v="466"/>
    <s v="State"/>
  </r>
  <r>
    <x v="26"/>
    <x v="467"/>
    <s v="State"/>
  </r>
  <r>
    <x v="26"/>
    <x v="468"/>
    <s v="State"/>
  </r>
  <r>
    <x v="26"/>
    <x v="469"/>
    <s v="State"/>
  </r>
  <r>
    <x v="26"/>
    <x v="470"/>
    <s v="State"/>
  </r>
  <r>
    <x v="26"/>
    <x v="471"/>
    <s v="State"/>
  </r>
  <r>
    <x v="26"/>
    <x v="472"/>
    <s v="State"/>
  </r>
  <r>
    <x v="26"/>
    <x v="473"/>
    <s v="State"/>
  </r>
  <r>
    <x v="26"/>
    <x v="474"/>
    <s v="State"/>
  </r>
  <r>
    <x v="26"/>
    <x v="475"/>
    <s v="State"/>
  </r>
  <r>
    <x v="26"/>
    <x v="476"/>
    <s v="State"/>
  </r>
  <r>
    <x v="26"/>
    <x v="477"/>
    <s v="State"/>
  </r>
  <r>
    <x v="26"/>
    <x v="478"/>
    <s v="State"/>
  </r>
  <r>
    <x v="26"/>
    <x v="479"/>
    <s v="State"/>
  </r>
  <r>
    <x v="26"/>
    <x v="480"/>
    <s v="State"/>
  </r>
  <r>
    <x v="27"/>
    <x v="481"/>
    <s v="Union Territory"/>
  </r>
  <r>
    <x v="27"/>
    <x v="482"/>
    <s v="Union Territory"/>
  </r>
  <r>
    <x v="27"/>
    <x v="483"/>
    <s v="Union Territory"/>
  </r>
  <r>
    <x v="27"/>
    <x v="484"/>
    <s v="Union Territory"/>
  </r>
  <r>
    <x v="28"/>
    <x v="485"/>
    <s v="State"/>
  </r>
  <r>
    <x v="28"/>
    <x v="486"/>
    <s v="State"/>
  </r>
  <r>
    <x v="28"/>
    <x v="487"/>
    <s v="State"/>
  </r>
  <r>
    <x v="28"/>
    <x v="488"/>
    <s v="State"/>
  </r>
  <r>
    <x v="28"/>
    <x v="489"/>
    <s v="State"/>
  </r>
  <r>
    <x v="28"/>
    <x v="490"/>
    <s v="State"/>
  </r>
  <r>
    <x v="28"/>
    <x v="491"/>
    <s v="State"/>
  </r>
  <r>
    <x v="28"/>
    <x v="492"/>
    <s v="State"/>
  </r>
  <r>
    <x v="28"/>
    <x v="493"/>
    <s v="State"/>
  </r>
  <r>
    <x v="28"/>
    <x v="494"/>
    <s v="State"/>
  </r>
  <r>
    <x v="28"/>
    <x v="495"/>
    <s v="State"/>
  </r>
  <r>
    <x v="28"/>
    <x v="496"/>
    <s v="State"/>
  </r>
  <r>
    <x v="28"/>
    <x v="497"/>
    <s v="State"/>
  </r>
  <r>
    <x v="28"/>
    <x v="498"/>
    <s v="State"/>
  </r>
  <r>
    <x v="28"/>
    <x v="499"/>
    <s v="State"/>
  </r>
  <r>
    <x v="28"/>
    <x v="500"/>
    <s v="State"/>
  </r>
  <r>
    <x v="28"/>
    <x v="501"/>
    <s v="State"/>
  </r>
  <r>
    <x v="28"/>
    <x v="502"/>
    <s v="State"/>
  </r>
  <r>
    <x v="28"/>
    <x v="503"/>
    <s v="State"/>
  </r>
  <r>
    <x v="28"/>
    <x v="504"/>
    <s v="State"/>
  </r>
  <r>
    <x v="28"/>
    <x v="505"/>
    <s v="State"/>
  </r>
  <r>
    <x v="28"/>
    <x v="506"/>
    <s v="State"/>
  </r>
  <r>
    <x v="29"/>
    <x v="507"/>
    <s v="State"/>
  </r>
  <r>
    <x v="29"/>
    <x v="508"/>
    <s v="State"/>
  </r>
  <r>
    <x v="29"/>
    <x v="509"/>
    <s v="State"/>
  </r>
  <r>
    <x v="29"/>
    <x v="510"/>
    <s v="State"/>
  </r>
  <r>
    <x v="29"/>
    <x v="511"/>
    <s v="State"/>
  </r>
  <r>
    <x v="29"/>
    <x v="512"/>
    <s v="State"/>
  </r>
  <r>
    <x v="29"/>
    <x v="513"/>
    <s v="State"/>
  </r>
  <r>
    <x v="29"/>
    <x v="514"/>
    <s v="State"/>
  </r>
  <r>
    <x v="29"/>
    <x v="515"/>
    <s v="State"/>
  </r>
  <r>
    <x v="29"/>
    <x v="516"/>
    <s v="State"/>
  </r>
  <r>
    <x v="29"/>
    <x v="517"/>
    <s v="State"/>
  </r>
  <r>
    <x v="29"/>
    <x v="518"/>
    <s v="State"/>
  </r>
  <r>
    <x v="29"/>
    <x v="519"/>
    <s v="State"/>
  </r>
  <r>
    <x v="29"/>
    <x v="520"/>
    <s v="State"/>
  </r>
  <r>
    <x v="29"/>
    <x v="521"/>
    <s v="State"/>
  </r>
  <r>
    <x v="29"/>
    <x v="522"/>
    <s v="State"/>
  </r>
  <r>
    <x v="29"/>
    <x v="523"/>
    <s v="State"/>
  </r>
  <r>
    <x v="29"/>
    <x v="524"/>
    <s v="State"/>
  </r>
  <r>
    <x v="29"/>
    <x v="525"/>
    <s v="State"/>
  </r>
  <r>
    <x v="29"/>
    <x v="526"/>
    <s v="State"/>
  </r>
  <r>
    <x v="29"/>
    <x v="527"/>
    <s v="State"/>
  </r>
  <r>
    <x v="29"/>
    <x v="528"/>
    <s v="State"/>
  </r>
  <r>
    <x v="29"/>
    <x v="529"/>
    <s v="State"/>
  </r>
  <r>
    <x v="29"/>
    <x v="530"/>
    <s v="State"/>
  </r>
  <r>
    <x v="29"/>
    <x v="531"/>
    <s v="State"/>
  </r>
  <r>
    <x v="29"/>
    <x v="532"/>
    <s v="State"/>
  </r>
  <r>
    <x v="29"/>
    <x v="533"/>
    <s v="State"/>
  </r>
  <r>
    <x v="29"/>
    <x v="534"/>
    <s v="State"/>
  </r>
  <r>
    <x v="29"/>
    <x v="535"/>
    <s v="State"/>
  </r>
  <r>
    <x v="29"/>
    <x v="536"/>
    <s v="State"/>
  </r>
  <r>
    <x v="29"/>
    <x v="537"/>
    <s v="State"/>
  </r>
  <r>
    <x v="29"/>
    <x v="538"/>
    <s v="State"/>
  </r>
  <r>
    <x v="29"/>
    <x v="539"/>
    <s v="State"/>
  </r>
  <r>
    <x v="30"/>
    <x v="540"/>
    <s v="State"/>
  </r>
  <r>
    <x v="30"/>
    <x v="541"/>
    <s v="State"/>
  </r>
  <r>
    <x v="30"/>
    <x v="542"/>
    <s v="State"/>
  </r>
  <r>
    <x v="30"/>
    <x v="543"/>
    <s v="State"/>
  </r>
  <r>
    <x v="31"/>
    <x v="544"/>
    <s v="State"/>
  </r>
  <r>
    <x v="31"/>
    <x v="545"/>
    <s v="State"/>
  </r>
  <r>
    <x v="31"/>
    <x v="546"/>
    <s v="State"/>
  </r>
  <r>
    <x v="31"/>
    <x v="547"/>
    <s v="State"/>
  </r>
  <r>
    <x v="31"/>
    <x v="548"/>
    <s v="State"/>
  </r>
  <r>
    <x v="31"/>
    <x v="549"/>
    <s v="State"/>
  </r>
  <r>
    <x v="31"/>
    <x v="550"/>
    <s v="State"/>
  </r>
  <r>
    <x v="31"/>
    <x v="551"/>
    <s v="State"/>
  </r>
  <r>
    <x v="31"/>
    <x v="552"/>
    <s v="State"/>
  </r>
  <r>
    <x v="31"/>
    <x v="553"/>
    <s v="State"/>
  </r>
  <r>
    <x v="31"/>
    <x v="554"/>
    <s v="State"/>
  </r>
  <r>
    <x v="31"/>
    <x v="555"/>
    <s v="State"/>
  </r>
  <r>
    <x v="31"/>
    <x v="556"/>
    <s v="State"/>
  </r>
  <r>
    <x v="31"/>
    <x v="557"/>
    <s v="State"/>
  </r>
  <r>
    <x v="31"/>
    <x v="558"/>
    <s v="State"/>
  </r>
  <r>
    <x v="31"/>
    <x v="559"/>
    <s v="State"/>
  </r>
  <r>
    <x v="31"/>
    <x v="560"/>
    <s v="State"/>
  </r>
  <r>
    <x v="31"/>
    <x v="561"/>
    <s v="State"/>
  </r>
  <r>
    <x v="31"/>
    <x v="562"/>
    <s v="State"/>
  </r>
  <r>
    <x v="31"/>
    <x v="563"/>
    <s v="State"/>
  </r>
  <r>
    <x v="31"/>
    <x v="564"/>
    <s v="State"/>
  </r>
  <r>
    <x v="31"/>
    <x v="565"/>
    <s v="State"/>
  </r>
  <r>
    <x v="31"/>
    <x v="566"/>
    <s v="State"/>
  </r>
  <r>
    <x v="31"/>
    <x v="567"/>
    <s v="State"/>
  </r>
  <r>
    <x v="31"/>
    <x v="568"/>
    <s v="State"/>
  </r>
  <r>
    <x v="31"/>
    <x v="569"/>
    <s v="State"/>
  </r>
  <r>
    <x v="31"/>
    <x v="570"/>
    <s v="State"/>
  </r>
  <r>
    <x v="31"/>
    <x v="571"/>
    <s v="State"/>
  </r>
  <r>
    <x v="31"/>
    <x v="572"/>
    <s v="State"/>
  </r>
  <r>
    <x v="31"/>
    <x v="573"/>
    <s v="State"/>
  </r>
  <r>
    <x v="31"/>
    <x v="574"/>
    <s v="State"/>
  </r>
  <r>
    <x v="31"/>
    <x v="575"/>
    <s v="State"/>
  </r>
  <r>
    <x v="31"/>
    <x v="576"/>
    <s v="State"/>
  </r>
  <r>
    <x v="31"/>
    <x v="577"/>
    <s v="State"/>
  </r>
  <r>
    <x v="31"/>
    <x v="578"/>
    <s v="State"/>
  </r>
  <r>
    <x v="31"/>
    <x v="579"/>
    <s v="State"/>
  </r>
  <r>
    <x v="31"/>
    <x v="580"/>
    <s v="State"/>
  </r>
  <r>
    <x v="31"/>
    <x v="581"/>
    <s v="State"/>
  </r>
  <r>
    <x v="32"/>
    <x v="582"/>
    <s v="State"/>
  </r>
  <r>
    <x v="32"/>
    <x v="583"/>
    <s v="State"/>
  </r>
  <r>
    <x v="32"/>
    <x v="584"/>
    <s v="State"/>
  </r>
  <r>
    <x v="32"/>
    <x v="585"/>
    <s v="State"/>
  </r>
  <r>
    <x v="32"/>
    <x v="586"/>
    <s v="State"/>
  </r>
  <r>
    <x v="32"/>
    <x v="587"/>
    <s v="State"/>
  </r>
  <r>
    <x v="32"/>
    <x v="588"/>
    <s v="State"/>
  </r>
  <r>
    <x v="32"/>
    <x v="589"/>
    <s v="State"/>
  </r>
  <r>
    <x v="32"/>
    <x v="590"/>
    <s v="State"/>
  </r>
  <r>
    <x v="32"/>
    <x v="591"/>
    <s v="State"/>
  </r>
  <r>
    <x v="32"/>
    <x v="592"/>
    <s v="State"/>
  </r>
  <r>
    <x v="32"/>
    <x v="593"/>
    <s v="State"/>
  </r>
  <r>
    <x v="32"/>
    <x v="594"/>
    <s v="State"/>
  </r>
  <r>
    <x v="32"/>
    <x v="595"/>
    <s v="State"/>
  </r>
  <r>
    <x v="32"/>
    <x v="596"/>
    <s v="State"/>
  </r>
  <r>
    <x v="32"/>
    <x v="597"/>
    <s v="State"/>
  </r>
  <r>
    <x v="32"/>
    <x v="598"/>
    <s v="State"/>
  </r>
  <r>
    <x v="32"/>
    <x v="599"/>
    <s v="State"/>
  </r>
  <r>
    <x v="32"/>
    <x v="600"/>
    <s v="State"/>
  </r>
  <r>
    <x v="32"/>
    <x v="601"/>
    <s v="State"/>
  </r>
  <r>
    <x v="32"/>
    <x v="602"/>
    <s v="State"/>
  </r>
  <r>
    <x v="32"/>
    <x v="603"/>
    <s v="State"/>
  </r>
  <r>
    <x v="32"/>
    <x v="604"/>
    <s v="State"/>
  </r>
  <r>
    <x v="32"/>
    <x v="605"/>
    <s v="State"/>
  </r>
  <r>
    <x v="32"/>
    <x v="606"/>
    <s v="State"/>
  </r>
  <r>
    <x v="32"/>
    <x v="607"/>
    <s v="State"/>
  </r>
  <r>
    <x v="32"/>
    <x v="608"/>
    <s v="State"/>
  </r>
  <r>
    <x v="32"/>
    <x v="609"/>
    <s v="State"/>
  </r>
  <r>
    <x v="32"/>
    <x v="610"/>
    <s v="State"/>
  </r>
  <r>
    <x v="32"/>
    <x v="611"/>
    <s v="State"/>
  </r>
  <r>
    <x v="32"/>
    <x v="612"/>
    <s v="State"/>
  </r>
  <r>
    <x v="32"/>
    <x v="613"/>
    <s v="State"/>
  </r>
  <r>
    <x v="32"/>
    <x v="614"/>
    <s v="State"/>
  </r>
  <r>
    <x v="33"/>
    <x v="615"/>
    <s v="State"/>
  </r>
  <r>
    <x v="33"/>
    <x v="616"/>
    <s v="State"/>
  </r>
  <r>
    <x v="33"/>
    <x v="617"/>
    <s v="State"/>
  </r>
  <r>
    <x v="33"/>
    <x v="618"/>
    <s v="State"/>
  </r>
  <r>
    <x v="33"/>
    <x v="619"/>
    <s v="State"/>
  </r>
  <r>
    <x v="33"/>
    <x v="620"/>
    <s v="State"/>
  </r>
  <r>
    <x v="33"/>
    <x v="621"/>
    <s v="State"/>
  </r>
  <r>
    <x v="33"/>
    <x v="622"/>
    <s v="State"/>
  </r>
  <r>
    <x v="34"/>
    <x v="623"/>
    <s v="State"/>
  </r>
  <r>
    <x v="34"/>
    <x v="624"/>
    <s v="State"/>
  </r>
  <r>
    <x v="34"/>
    <x v="625"/>
    <s v="State"/>
  </r>
  <r>
    <x v="34"/>
    <x v="626"/>
    <s v="State"/>
  </r>
  <r>
    <x v="34"/>
    <x v="627"/>
    <s v="State"/>
  </r>
  <r>
    <x v="34"/>
    <x v="628"/>
    <s v="State"/>
  </r>
  <r>
    <x v="34"/>
    <x v="629"/>
    <s v="State"/>
  </r>
  <r>
    <x v="34"/>
    <x v="630"/>
    <s v="State"/>
  </r>
  <r>
    <x v="34"/>
    <x v="631"/>
    <s v="State"/>
  </r>
  <r>
    <x v="34"/>
    <x v="632"/>
    <s v="State"/>
  </r>
  <r>
    <x v="34"/>
    <x v="633"/>
    <s v="State"/>
  </r>
  <r>
    <x v="34"/>
    <x v="115"/>
    <s v="State"/>
  </r>
  <r>
    <x v="34"/>
    <x v="634"/>
    <s v="State"/>
  </r>
  <r>
    <x v="34"/>
    <x v="635"/>
    <s v="State"/>
  </r>
  <r>
    <x v="34"/>
    <x v="636"/>
    <s v="State"/>
  </r>
  <r>
    <x v="34"/>
    <x v="637"/>
    <s v="State"/>
  </r>
  <r>
    <x v="34"/>
    <x v="638"/>
    <s v="State"/>
  </r>
  <r>
    <x v="34"/>
    <x v="639"/>
    <s v="State"/>
  </r>
  <r>
    <x v="34"/>
    <x v="640"/>
    <s v="State"/>
  </r>
  <r>
    <x v="34"/>
    <x v="641"/>
    <s v="State"/>
  </r>
  <r>
    <x v="34"/>
    <x v="642"/>
    <s v="State"/>
  </r>
  <r>
    <x v="34"/>
    <x v="643"/>
    <s v="State"/>
  </r>
  <r>
    <x v="34"/>
    <x v="644"/>
    <s v="State"/>
  </r>
  <r>
    <x v="34"/>
    <x v="645"/>
    <s v="State"/>
  </r>
  <r>
    <x v="34"/>
    <x v="646"/>
    <s v="State"/>
  </r>
  <r>
    <x v="34"/>
    <x v="647"/>
    <s v="State"/>
  </r>
  <r>
    <x v="34"/>
    <x v="648"/>
    <s v="State"/>
  </r>
  <r>
    <x v="34"/>
    <x v="649"/>
    <s v="State"/>
  </r>
  <r>
    <x v="34"/>
    <x v="650"/>
    <s v="State"/>
  </r>
  <r>
    <x v="34"/>
    <x v="651"/>
    <s v="State"/>
  </r>
  <r>
    <x v="34"/>
    <x v="652"/>
    <s v="State"/>
  </r>
  <r>
    <x v="34"/>
    <x v="653"/>
    <s v="State"/>
  </r>
  <r>
    <x v="34"/>
    <x v="654"/>
    <s v="State"/>
  </r>
  <r>
    <x v="34"/>
    <x v="213"/>
    <s v="State"/>
  </r>
  <r>
    <x v="34"/>
    <x v="655"/>
    <s v="State"/>
  </r>
  <r>
    <x v="34"/>
    <x v="656"/>
    <s v="State"/>
  </r>
  <r>
    <x v="34"/>
    <x v="657"/>
    <s v="State"/>
  </r>
  <r>
    <x v="34"/>
    <x v="658"/>
    <s v="State"/>
  </r>
  <r>
    <x v="34"/>
    <x v="659"/>
    <s v="State"/>
  </r>
  <r>
    <x v="34"/>
    <x v="660"/>
    <s v="State"/>
  </r>
  <r>
    <x v="34"/>
    <x v="661"/>
    <s v="State"/>
  </r>
  <r>
    <x v="34"/>
    <x v="662"/>
    <s v="State"/>
  </r>
  <r>
    <x v="34"/>
    <x v="663"/>
    <s v="State"/>
  </r>
  <r>
    <x v="34"/>
    <x v="664"/>
    <s v="State"/>
  </r>
  <r>
    <x v="34"/>
    <x v="665"/>
    <s v="State"/>
  </r>
  <r>
    <x v="34"/>
    <x v="666"/>
    <s v="State"/>
  </r>
  <r>
    <x v="34"/>
    <x v="667"/>
    <s v="State"/>
  </r>
  <r>
    <x v="34"/>
    <x v="668"/>
    <s v="State"/>
  </r>
  <r>
    <x v="34"/>
    <x v="669"/>
    <s v="State"/>
  </r>
  <r>
    <x v="34"/>
    <x v="670"/>
    <s v="State"/>
  </r>
  <r>
    <x v="34"/>
    <x v="671"/>
    <s v="State"/>
  </r>
  <r>
    <x v="34"/>
    <x v="672"/>
    <s v="State"/>
  </r>
  <r>
    <x v="34"/>
    <x v="673"/>
    <s v="State"/>
  </r>
  <r>
    <x v="34"/>
    <x v="674"/>
    <s v="State"/>
  </r>
  <r>
    <x v="34"/>
    <x v="675"/>
    <s v="State"/>
  </r>
  <r>
    <x v="34"/>
    <x v="676"/>
    <s v="State"/>
  </r>
  <r>
    <x v="34"/>
    <x v="677"/>
    <s v="State"/>
  </r>
  <r>
    <x v="34"/>
    <x v="678"/>
    <s v="State"/>
  </r>
  <r>
    <x v="34"/>
    <x v="679"/>
    <s v="State"/>
  </r>
  <r>
    <x v="34"/>
    <x v="532"/>
    <s v="State"/>
  </r>
  <r>
    <x v="34"/>
    <x v="680"/>
    <s v="State"/>
  </r>
  <r>
    <x v="34"/>
    <x v="681"/>
    <s v="State"/>
  </r>
  <r>
    <x v="34"/>
    <x v="682"/>
    <s v="State"/>
  </r>
  <r>
    <x v="34"/>
    <x v="683"/>
    <s v="State"/>
  </r>
  <r>
    <x v="34"/>
    <x v="684"/>
    <s v="State"/>
  </r>
  <r>
    <x v="34"/>
    <x v="685"/>
    <s v="State"/>
  </r>
  <r>
    <x v="34"/>
    <x v="686"/>
    <s v="State"/>
  </r>
  <r>
    <x v="34"/>
    <x v="687"/>
    <s v="State"/>
  </r>
  <r>
    <x v="34"/>
    <x v="688"/>
    <s v="State"/>
  </r>
  <r>
    <x v="34"/>
    <x v="689"/>
    <s v="State"/>
  </r>
  <r>
    <x v="34"/>
    <x v="690"/>
    <s v="State"/>
  </r>
  <r>
    <x v="34"/>
    <x v="691"/>
    <s v="State"/>
  </r>
  <r>
    <x v="34"/>
    <x v="692"/>
    <s v="State"/>
  </r>
  <r>
    <x v="34"/>
    <x v="693"/>
    <s v="State"/>
  </r>
  <r>
    <x v="34"/>
    <x v="694"/>
    <s v="State"/>
  </r>
  <r>
    <x v="35"/>
    <x v="695"/>
    <s v="State"/>
  </r>
  <r>
    <x v="35"/>
    <x v="696"/>
    <s v="State"/>
  </r>
  <r>
    <x v="35"/>
    <x v="697"/>
    <s v="State"/>
  </r>
  <r>
    <x v="35"/>
    <x v="698"/>
    <s v="State"/>
  </r>
  <r>
    <x v="35"/>
    <x v="699"/>
    <s v="State"/>
  </r>
  <r>
    <x v="35"/>
    <x v="700"/>
    <s v="State"/>
  </r>
  <r>
    <x v="35"/>
    <x v="701"/>
    <s v="State"/>
  </r>
  <r>
    <x v="35"/>
    <x v="702"/>
    <s v="State"/>
  </r>
  <r>
    <x v="35"/>
    <x v="703"/>
    <s v="State"/>
  </r>
  <r>
    <x v="35"/>
    <x v="704"/>
    <s v="State"/>
  </r>
  <r>
    <x v="35"/>
    <x v="705"/>
    <s v="State"/>
  </r>
  <r>
    <x v="35"/>
    <x v="706"/>
    <s v="State"/>
  </r>
  <r>
    <x v="35"/>
    <x v="707"/>
    <s v="State"/>
  </r>
  <r>
    <x v="36"/>
    <x v="708"/>
    <s v="State"/>
  </r>
  <r>
    <x v="36"/>
    <x v="709"/>
    <s v="State"/>
  </r>
  <r>
    <x v="36"/>
    <x v="710"/>
    <s v="State"/>
  </r>
  <r>
    <x v="36"/>
    <x v="711"/>
    <s v="State"/>
  </r>
  <r>
    <x v="36"/>
    <x v="712"/>
    <s v="State"/>
  </r>
  <r>
    <x v="36"/>
    <x v="713"/>
    <s v="State"/>
  </r>
  <r>
    <x v="36"/>
    <x v="714"/>
    <s v="State"/>
  </r>
  <r>
    <x v="36"/>
    <x v="715"/>
    <s v="State"/>
  </r>
  <r>
    <x v="36"/>
    <x v="716"/>
    <s v="State"/>
  </r>
  <r>
    <x v="36"/>
    <x v="717"/>
    <s v="State"/>
  </r>
  <r>
    <x v="36"/>
    <x v="718"/>
    <s v="State"/>
  </r>
  <r>
    <x v="36"/>
    <x v="719"/>
    <s v="State"/>
  </r>
  <r>
    <x v="36"/>
    <x v="720"/>
    <s v="State"/>
  </r>
  <r>
    <x v="36"/>
    <x v="721"/>
    <s v="State"/>
  </r>
  <r>
    <x v="36"/>
    <x v="722"/>
    <s v="State"/>
  </r>
  <r>
    <x v="36"/>
    <x v="723"/>
    <s v="State"/>
  </r>
  <r>
    <x v="36"/>
    <x v="724"/>
    <s v="State"/>
  </r>
  <r>
    <x v="36"/>
    <x v="725"/>
    <s v="State"/>
  </r>
  <r>
    <x v="36"/>
    <x v="726"/>
    <s v="State"/>
  </r>
  <r>
    <x v="36"/>
    <x v="727"/>
    <s v="State"/>
  </r>
  <r>
    <x v="36"/>
    <x v="728"/>
    <s v="State"/>
  </r>
  <r>
    <x v="36"/>
    <x v="729"/>
    <s v="State"/>
  </r>
  <r>
    <x v="36"/>
    <x v="73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3:F777" firstHeaderRow="1" firstDataRow="1" firstDataCol="2"/>
  <pivotFields count="3">
    <pivotField axis="axisRow" compact="0" outline="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compact="0" outline="0" showAll="0">
      <items count="732">
        <item x="444"/>
        <item x="582"/>
        <item x="314"/>
        <item x="623"/>
        <item x="157"/>
        <item x="369"/>
        <item x="431"/>
        <item x="507"/>
        <item x="370"/>
        <item x="297"/>
        <item x="624"/>
        <item x="708"/>
        <item x="315"/>
        <item x="695"/>
        <item x="508"/>
        <item x="190"/>
        <item x="625"/>
        <item x="626"/>
        <item x="371"/>
        <item x="158"/>
        <item x="485"/>
        <item x="627"/>
        <item x="159"/>
        <item x="3"/>
        <item x="223"/>
        <item x="451"/>
        <item x="16"/>
        <item x="316"/>
        <item x="74"/>
        <item x="160"/>
        <item x="544"/>
        <item x="75"/>
        <item x="317"/>
        <item x="628"/>
        <item x="76"/>
        <item x="629"/>
        <item x="630"/>
        <item x="267"/>
        <item x="696"/>
        <item x="631"/>
        <item x="632"/>
        <item x="41"/>
        <item x="318"/>
        <item x="452"/>
        <item x="453"/>
        <item x="633"/>
        <item x="113"/>
        <item x="114"/>
        <item x="115"/>
        <item x="161"/>
        <item x="634"/>
        <item x="224"/>
        <item x="268"/>
        <item x="269"/>
        <item x="77"/>
        <item x="709"/>
        <item x="509"/>
        <item x="635"/>
        <item x="225"/>
        <item x="510"/>
        <item x="636"/>
        <item x="454"/>
        <item x="511"/>
        <item x="486"/>
        <item x="42"/>
        <item x="319"/>
        <item x="116"/>
        <item x="637"/>
        <item x="487"/>
        <item x="372"/>
        <item x="78"/>
        <item x="270"/>
        <item x="271"/>
        <item x="117"/>
        <item x="320"/>
        <item x="638"/>
        <item x="583"/>
        <item x="455"/>
        <item x="79"/>
        <item x="373"/>
        <item x="512"/>
        <item x="162"/>
        <item x="163"/>
        <item x="513"/>
        <item x="321"/>
        <item x="191"/>
        <item x="80"/>
        <item x="322"/>
        <item x="272"/>
        <item x="118"/>
        <item x="639"/>
        <item x="514"/>
        <item x="119"/>
        <item x="710"/>
        <item x="404"/>
        <item x="43"/>
        <item x="243"/>
        <item x="44"/>
        <item x="164"/>
        <item x="456"/>
        <item x="640"/>
        <item x="226"/>
        <item x="641"/>
        <item x="374"/>
        <item x="515"/>
        <item x="323"/>
        <item x="81"/>
        <item x="45"/>
        <item x="144"/>
        <item x="17"/>
        <item x="324"/>
        <item x="273"/>
        <item x="212"/>
        <item x="697"/>
        <item x="698"/>
        <item x="432"/>
        <item x="642"/>
        <item x="405"/>
        <item x="112"/>
        <item x="375"/>
        <item x="18"/>
        <item x="46"/>
        <item x="192"/>
        <item x="244"/>
        <item x="545"/>
        <item x="546"/>
        <item x="325"/>
        <item x="326"/>
        <item x="165"/>
        <item x="274"/>
        <item x="275"/>
        <item x="47"/>
        <item x="276"/>
        <item x="643"/>
        <item x="4"/>
        <item x="516"/>
        <item x="406"/>
        <item x="517"/>
        <item x="547"/>
        <item x="711"/>
        <item x="548"/>
        <item x="457"/>
        <item x="141"/>
        <item x="166"/>
        <item x="712"/>
        <item x="277"/>
        <item x="142"/>
        <item x="327"/>
        <item x="167"/>
        <item x="120"/>
        <item x="82"/>
        <item x="713"/>
        <item x="48"/>
        <item x="328"/>
        <item x="518"/>
        <item x="278"/>
        <item x="458"/>
        <item x="699"/>
        <item x="245"/>
        <item x="644"/>
        <item x="168"/>
        <item x="329"/>
        <item x="615"/>
        <item x="121"/>
        <item x="246"/>
        <item x="330"/>
        <item x="549"/>
        <item x="279"/>
        <item x="49"/>
        <item x="459"/>
        <item x="519"/>
        <item x="50"/>
        <item x="376"/>
        <item x="19"/>
        <item x="51"/>
        <item x="52"/>
        <item x="439"/>
        <item x="550"/>
        <item x="331"/>
        <item x="143"/>
        <item x="227"/>
        <item x="247"/>
        <item x="520"/>
        <item x="122"/>
        <item x="83"/>
        <item x="145"/>
        <item x="420"/>
        <item x="5"/>
        <item x="421"/>
        <item x="20"/>
        <item x="422"/>
        <item x="21"/>
        <item x="540"/>
        <item x="248"/>
        <item x="298"/>
        <item x="551"/>
        <item x="645"/>
        <item x="646"/>
        <item x="193"/>
        <item x="488"/>
        <item x="647"/>
        <item x="194"/>
        <item x="489"/>
        <item x="648"/>
        <item x="490"/>
        <item x="649"/>
        <item x="491"/>
        <item x="280"/>
        <item x="377"/>
        <item x="460"/>
        <item x="228"/>
        <item x="169"/>
        <item x="461"/>
        <item x="249"/>
        <item x="123"/>
        <item x="124"/>
        <item x="650"/>
        <item x="84"/>
        <item x="651"/>
        <item x="652"/>
        <item x="170"/>
        <item x="250"/>
        <item x="53"/>
        <item x="251"/>
        <item x="54"/>
        <item x="616"/>
        <item x="653"/>
        <item x="378"/>
        <item x="85"/>
        <item x="654"/>
        <item x="281"/>
        <item x="252"/>
        <item x="332"/>
        <item x="6"/>
        <item x="492"/>
        <item x="195"/>
        <item x="333"/>
        <item x="55"/>
        <item x="213"/>
        <item x="521"/>
        <item x="655"/>
        <item x="334"/>
        <item x="656"/>
        <item x="700"/>
        <item x="282"/>
        <item x="657"/>
        <item x="283"/>
        <item x="253"/>
        <item x="379"/>
        <item x="196"/>
        <item x="56"/>
        <item x="714"/>
        <item x="335"/>
        <item x="493"/>
        <item x="715"/>
        <item x="584"/>
        <item x="299"/>
        <item x="407"/>
        <item x="408"/>
        <item x="336"/>
        <item x="337"/>
        <item x="462"/>
        <item x="585"/>
        <item x="522"/>
        <item x="523"/>
        <item x="463"/>
        <item x="494"/>
        <item x="658"/>
        <item x="380"/>
        <item x="381"/>
        <item x="524"/>
        <item x="716"/>
        <item x="229"/>
        <item x="171"/>
        <item x="254"/>
        <item x="86"/>
        <item x="586"/>
        <item x="125"/>
        <item x="126"/>
        <item x="659"/>
        <item x="587"/>
        <item x="87"/>
        <item x="338"/>
        <item x="197"/>
        <item x="525"/>
        <item x="660"/>
        <item x="717"/>
        <item x="464"/>
        <item x="526"/>
        <item x="198"/>
        <item x="409"/>
        <item x="527"/>
        <item x="588"/>
        <item x="57"/>
        <item x="172"/>
        <item x="127"/>
        <item x="7"/>
        <item x="88"/>
        <item x="199"/>
        <item x="410"/>
        <item x="465"/>
        <item x="718"/>
        <item x="552"/>
        <item x="589"/>
        <item x="411"/>
        <item x="22"/>
        <item x="58"/>
        <item x="59"/>
        <item x="553"/>
        <item x="466"/>
        <item x="412"/>
        <item x="214"/>
        <item x="128"/>
        <item x="661"/>
        <item x="300"/>
        <item x="662"/>
        <item x="663"/>
        <item x="554"/>
        <item x="495"/>
        <item x="481"/>
        <item x="528"/>
        <item x="60"/>
        <item x="311"/>
        <item x="61"/>
        <item x="590"/>
        <item x="200"/>
        <item x="555"/>
        <item x="301"/>
        <item x="664"/>
        <item x="230"/>
        <item x="89"/>
        <item x="339"/>
        <item x="665"/>
        <item x="467"/>
        <item x="468"/>
        <item x="90"/>
        <item x="591"/>
        <item x="340"/>
        <item x="341"/>
        <item x="173"/>
        <item x="666"/>
        <item x="469"/>
        <item x="617"/>
        <item x="255"/>
        <item x="215"/>
        <item x="440"/>
        <item x="91"/>
        <item x="231"/>
        <item x="284"/>
        <item x="256"/>
        <item x="441"/>
        <item x="62"/>
        <item x="285"/>
        <item x="433"/>
        <item x="382"/>
        <item x="719"/>
        <item x="302"/>
        <item x="592"/>
        <item x="129"/>
        <item x="286"/>
        <item x="470"/>
        <item x="130"/>
        <item x="131"/>
        <item x="529"/>
        <item x="303"/>
        <item x="304"/>
        <item x="23"/>
        <item x="8"/>
        <item x="556"/>
        <item x="232"/>
        <item x="216"/>
        <item x="233"/>
        <item x="9"/>
        <item x="201"/>
        <item x="24"/>
        <item x="667"/>
        <item x="174"/>
        <item x="217"/>
        <item x="63"/>
        <item x="92"/>
        <item x="313"/>
        <item x="668"/>
        <item x="257"/>
        <item x="383"/>
        <item x="434"/>
        <item x="312"/>
        <item x="25"/>
        <item x="258"/>
        <item x="26"/>
        <item x="27"/>
        <item x="442"/>
        <item x="28"/>
        <item x="29"/>
        <item x="30"/>
        <item x="669"/>
        <item x="496"/>
        <item x="435"/>
        <item x="93"/>
        <item x="94"/>
        <item x="557"/>
        <item x="593"/>
        <item x="670"/>
        <item x="132"/>
        <item x="594"/>
        <item x="482"/>
        <item x="202"/>
        <item x="175"/>
        <item x="671"/>
        <item x="342"/>
        <item x="672"/>
        <item x="64"/>
        <item x="305"/>
        <item x="720"/>
        <item x="471"/>
        <item x="436"/>
        <item x="595"/>
        <item x="218"/>
        <item x="343"/>
        <item x="344"/>
        <item x="287"/>
        <item x="497"/>
        <item x="673"/>
        <item x="674"/>
        <item x="558"/>
        <item x="472"/>
        <item x="596"/>
        <item x="597"/>
        <item x="675"/>
        <item x="176"/>
        <item x="203"/>
        <item x="676"/>
        <item x="498"/>
        <item x="499"/>
        <item x="443"/>
        <item x="677"/>
        <item x="177"/>
        <item x="345"/>
        <item x="65"/>
        <item x="500"/>
        <item x="598"/>
        <item x="384"/>
        <item x="385"/>
        <item x="133"/>
        <item x="95"/>
        <item x="721"/>
        <item x="678"/>
        <item x="96"/>
        <item x="288"/>
        <item x="473"/>
        <item x="722"/>
        <item x="66"/>
        <item x="559"/>
        <item x="599"/>
        <item x="530"/>
        <item x="346"/>
        <item x="386"/>
        <item x="701"/>
        <item x="97"/>
        <item x="67"/>
        <item x="600"/>
        <item x="560"/>
        <item x="31"/>
        <item x="387"/>
        <item x="388"/>
        <item x="601"/>
        <item x="134"/>
        <item x="178"/>
        <item x="347"/>
        <item x="389"/>
        <item x="179"/>
        <item x="98"/>
        <item x="474"/>
        <item x="348"/>
        <item x="10"/>
        <item x="146"/>
        <item x="0"/>
        <item x="561"/>
        <item x="602"/>
        <item x="349"/>
        <item x="603"/>
        <item x="445"/>
        <item x="413"/>
        <item x="723"/>
        <item x="147"/>
        <item x="148"/>
        <item x="423"/>
        <item x="155"/>
        <item x="1"/>
        <item x="541"/>
        <item x="618"/>
        <item x="149"/>
        <item x="475"/>
        <item x="390"/>
        <item x="32"/>
        <item x="259"/>
        <item x="306"/>
        <item x="260"/>
        <item x="391"/>
        <item x="531"/>
        <item x="204"/>
        <item x="205"/>
        <item x="180"/>
        <item x="206"/>
        <item x="350"/>
        <item x="33"/>
        <item x="392"/>
        <item x="724"/>
        <item x="725"/>
        <item x="181"/>
        <item x="307"/>
        <item x="501"/>
        <item x="502"/>
        <item x="99"/>
        <item x="702"/>
        <item x="604"/>
        <item x="562"/>
        <item x="446"/>
        <item x="447"/>
        <item x="414"/>
        <item x="679"/>
        <item x="703"/>
        <item x="234"/>
        <item x="182"/>
        <item x="11"/>
        <item x="532"/>
        <item x="680"/>
        <item x="483"/>
        <item x="563"/>
        <item x="235"/>
        <item x="393"/>
        <item x="726"/>
        <item x="727"/>
        <item x="476"/>
        <item x="100"/>
        <item x="728"/>
        <item x="681"/>
        <item x="289"/>
        <item x="394"/>
        <item x="135"/>
        <item x="136"/>
        <item x="351"/>
        <item x="605"/>
        <item x="352"/>
        <item x="183"/>
        <item x="137"/>
        <item x="236"/>
        <item x="533"/>
        <item x="290"/>
        <item x="564"/>
        <item x="237"/>
        <item x="261"/>
        <item x="682"/>
        <item x="262"/>
        <item x="606"/>
        <item x="565"/>
        <item x="353"/>
        <item x="395"/>
        <item x="477"/>
        <item x="238"/>
        <item x="354"/>
        <item x="207"/>
        <item x="424"/>
        <item x="208"/>
        <item x="101"/>
        <item x="704"/>
        <item x="503"/>
        <item x="184"/>
        <item x="355"/>
        <item x="683"/>
        <item x="102"/>
        <item x="263"/>
        <item x="437"/>
        <item x="566"/>
        <item x="103"/>
        <item x="239"/>
        <item x="478"/>
        <item x="684"/>
        <item x="607"/>
        <item x="396"/>
        <item x="504"/>
        <item x="685"/>
        <item x="104"/>
        <item x="397"/>
        <item x="356"/>
        <item x="534"/>
        <item x="357"/>
        <item x="415"/>
        <item x="358"/>
        <item x="619"/>
        <item x="264"/>
        <item x="438"/>
        <item x="150"/>
        <item x="359"/>
        <item x="505"/>
        <item x="686"/>
        <item x="360"/>
        <item x="687"/>
        <item x="105"/>
        <item x="106"/>
        <item x="361"/>
        <item x="34"/>
        <item x="219"/>
        <item x="291"/>
        <item x="362"/>
        <item x="240"/>
        <item x="688"/>
        <item x="689"/>
        <item x="608"/>
        <item x="363"/>
        <item x="535"/>
        <item x="265"/>
        <item x="398"/>
        <item x="364"/>
        <item x="220"/>
        <item x="536"/>
        <item x="209"/>
        <item x="107"/>
        <item x="690"/>
        <item x="567"/>
        <item x="68"/>
        <item x="108"/>
        <item x="221"/>
        <item x="399"/>
        <item x="691"/>
        <item x="210"/>
        <item x="69"/>
        <item x="729"/>
        <item x="2"/>
        <item x="151"/>
        <item x="152"/>
        <item x="425"/>
        <item x="156"/>
        <item x="70"/>
        <item x="542"/>
        <item x="620"/>
        <item x="153"/>
        <item x="426"/>
        <item x="427"/>
        <item x="537"/>
        <item x="12"/>
        <item x="241"/>
        <item x="479"/>
        <item x="138"/>
        <item x="692"/>
        <item x="480"/>
        <item x="109"/>
        <item x="139"/>
        <item x="185"/>
        <item x="186"/>
        <item x="140"/>
        <item x="609"/>
        <item x="416"/>
        <item x="187"/>
        <item x="506"/>
        <item x="35"/>
        <item x="705"/>
        <item x="417"/>
        <item x="568"/>
        <item x="400"/>
        <item x="569"/>
        <item x="570"/>
        <item x="308"/>
        <item x="571"/>
        <item x="418"/>
        <item x="309"/>
        <item x="365"/>
        <item x="71"/>
        <item x="36"/>
        <item x="572"/>
        <item x="573"/>
        <item x="574"/>
        <item x="575"/>
        <item x="576"/>
        <item x="577"/>
        <item x="578"/>
        <item x="538"/>
        <item x="448"/>
        <item x="292"/>
        <item x="539"/>
        <item x="72"/>
        <item x="706"/>
        <item x="242"/>
        <item x="293"/>
        <item x="366"/>
        <item x="419"/>
        <item x="367"/>
        <item x="222"/>
        <item x="621"/>
        <item x="693"/>
        <item x="37"/>
        <item x="38"/>
        <item x="730"/>
        <item x="294"/>
        <item x="707"/>
        <item x="188"/>
        <item x="110"/>
        <item x="189"/>
        <item x="694"/>
        <item x="579"/>
        <item x="368"/>
        <item x="295"/>
        <item x="610"/>
        <item x="580"/>
        <item x="581"/>
        <item x="13"/>
        <item x="14"/>
        <item x="611"/>
        <item x="612"/>
        <item x="613"/>
        <item x="401"/>
        <item x="402"/>
        <item x="310"/>
        <item x="111"/>
        <item x="154"/>
        <item x="428"/>
        <item x="15"/>
        <item x="429"/>
        <item x="39"/>
        <item x="73"/>
        <item x="430"/>
        <item x="40"/>
        <item x="543"/>
        <item x="266"/>
        <item x="622"/>
        <item x="449"/>
        <item x="614"/>
        <item x="296"/>
        <item x="211"/>
        <item x="484"/>
        <item x="403"/>
        <item x="450"/>
        <item t="default"/>
      </items>
    </pivotField>
    <pivotField compact="0" outline="0" showAll="0"/>
  </pivotFields>
  <rowFields count="2">
    <field x="0"/>
    <field x="1"/>
  </rowFields>
  <rowItems count="774">
    <i>
      <x/>
      <x v="475"/>
    </i>
    <i r="1">
      <x v="487"/>
    </i>
    <i r="1">
      <x v="627"/>
    </i>
    <i t="default">
      <x/>
    </i>
    <i>
      <x v="1"/>
      <x v="23"/>
    </i>
    <i r="1">
      <x v="134"/>
    </i>
    <i r="1">
      <x v="187"/>
    </i>
    <i r="1">
      <x v="233"/>
    </i>
    <i r="1">
      <x v="296"/>
    </i>
    <i r="1">
      <x v="367"/>
    </i>
    <i r="1">
      <x v="372"/>
    </i>
    <i r="1">
      <x v="473"/>
    </i>
    <i r="1">
      <x v="523"/>
    </i>
    <i r="1">
      <x v="639"/>
    </i>
    <i r="1">
      <x v="704"/>
    </i>
    <i r="1">
      <x v="705"/>
    </i>
    <i r="1">
      <x v="715"/>
    </i>
    <i t="default">
      <x v="1"/>
    </i>
    <i>
      <x v="2"/>
      <x v="26"/>
    </i>
    <i r="1">
      <x v="109"/>
    </i>
    <i r="1">
      <x v="120"/>
    </i>
    <i r="1">
      <x v="173"/>
    </i>
    <i r="1">
      <x v="189"/>
    </i>
    <i r="1">
      <x v="191"/>
    </i>
    <i r="1">
      <x v="305"/>
    </i>
    <i r="1">
      <x v="366"/>
    </i>
    <i r="1">
      <x v="374"/>
    </i>
    <i r="1">
      <x v="386"/>
    </i>
    <i r="1">
      <x v="388"/>
    </i>
    <i r="1">
      <x v="389"/>
    </i>
    <i r="1">
      <x v="391"/>
    </i>
    <i r="1">
      <x v="392"/>
    </i>
    <i r="1">
      <x v="393"/>
    </i>
    <i r="1">
      <x v="461"/>
    </i>
    <i r="1">
      <x v="493"/>
    </i>
    <i r="1">
      <x v="504"/>
    </i>
    <i r="1">
      <x v="600"/>
    </i>
    <i r="1">
      <x v="654"/>
    </i>
    <i r="1">
      <x v="667"/>
    </i>
    <i r="1">
      <x v="689"/>
    </i>
    <i r="1">
      <x v="690"/>
    </i>
    <i r="1">
      <x v="717"/>
    </i>
    <i r="1">
      <x v="720"/>
    </i>
    <i t="default">
      <x v="2"/>
    </i>
    <i>
      <x v="3"/>
      <x v="41"/>
    </i>
    <i r="1">
      <x v="64"/>
    </i>
    <i r="1">
      <x v="95"/>
    </i>
    <i r="1">
      <x v="97"/>
    </i>
    <i r="1">
      <x v="107"/>
    </i>
    <i r="1">
      <x v="121"/>
    </i>
    <i r="1">
      <x v="131"/>
    </i>
    <i r="1">
      <x v="152"/>
    </i>
    <i r="1">
      <x v="168"/>
    </i>
    <i r="1">
      <x v="171"/>
    </i>
    <i r="1">
      <x v="174"/>
    </i>
    <i r="1">
      <x v="175"/>
    </i>
    <i r="1">
      <x v="222"/>
    </i>
    <i r="1">
      <x v="224"/>
    </i>
    <i r="1">
      <x v="237"/>
    </i>
    <i r="1">
      <x v="250"/>
    </i>
    <i r="1">
      <x v="293"/>
    </i>
    <i r="1">
      <x v="306"/>
    </i>
    <i r="1">
      <x v="307"/>
    </i>
    <i r="1">
      <x v="321"/>
    </i>
    <i r="1">
      <x v="323"/>
    </i>
    <i r="1">
      <x v="351"/>
    </i>
    <i r="1">
      <x v="378"/>
    </i>
    <i r="1">
      <x v="410"/>
    </i>
    <i r="1">
      <x v="437"/>
    </i>
    <i r="1">
      <x v="450"/>
    </i>
    <i r="1">
      <x v="458"/>
    </i>
    <i r="1">
      <x v="619"/>
    </i>
    <i r="1">
      <x v="625"/>
    </i>
    <i r="1">
      <x v="632"/>
    </i>
    <i r="1">
      <x v="666"/>
    </i>
    <i r="1">
      <x v="679"/>
    </i>
    <i r="1">
      <x v="718"/>
    </i>
    <i t="default">
      <x v="3"/>
    </i>
    <i>
      <x v="4"/>
      <x v="28"/>
    </i>
    <i r="1">
      <x v="31"/>
    </i>
    <i r="1">
      <x v="34"/>
    </i>
    <i r="1">
      <x v="54"/>
    </i>
    <i r="1">
      <x v="70"/>
    </i>
    <i r="1">
      <x v="78"/>
    </i>
    <i r="1">
      <x v="86"/>
    </i>
    <i r="1">
      <x v="106"/>
    </i>
    <i r="1">
      <x v="150"/>
    </i>
    <i r="1">
      <x v="184"/>
    </i>
    <i r="1">
      <x v="217"/>
    </i>
    <i r="1">
      <x v="228"/>
    </i>
    <i r="1">
      <x v="275"/>
    </i>
    <i r="1">
      <x v="281"/>
    </i>
    <i r="1">
      <x v="297"/>
    </i>
    <i r="1">
      <x v="330"/>
    </i>
    <i r="1">
      <x v="335"/>
    </i>
    <i r="1">
      <x v="346"/>
    </i>
    <i r="1">
      <x v="379"/>
    </i>
    <i r="1">
      <x v="397"/>
    </i>
    <i r="1">
      <x v="398"/>
    </i>
    <i r="1">
      <x v="443"/>
    </i>
    <i r="1">
      <x v="446"/>
    </i>
    <i r="1">
      <x v="457"/>
    </i>
    <i r="1">
      <x v="470"/>
    </i>
    <i r="1">
      <x v="512"/>
    </i>
    <i r="1">
      <x v="533"/>
    </i>
    <i r="1">
      <x v="563"/>
    </i>
    <i r="1">
      <x v="569"/>
    </i>
    <i r="1">
      <x v="573"/>
    </i>
    <i r="1">
      <x v="581"/>
    </i>
    <i r="1">
      <x v="597"/>
    </i>
    <i r="1">
      <x v="598"/>
    </i>
    <i r="1">
      <x v="616"/>
    </i>
    <i r="1">
      <x v="620"/>
    </i>
    <i r="1">
      <x v="645"/>
    </i>
    <i r="1">
      <x v="695"/>
    </i>
    <i r="1">
      <x v="712"/>
    </i>
    <i t="default">
      <x v="4"/>
    </i>
    <i>
      <x v="5"/>
      <x v="118"/>
    </i>
    <i t="default">
      <x v="5"/>
    </i>
    <i>
      <x v="6"/>
      <x v="46"/>
    </i>
    <i r="1">
      <x v="47"/>
    </i>
    <i r="1">
      <x v="48"/>
    </i>
    <i r="1">
      <x v="66"/>
    </i>
    <i r="1">
      <x v="73"/>
    </i>
    <i r="1">
      <x v="89"/>
    </i>
    <i r="1">
      <x v="92"/>
    </i>
    <i r="1">
      <x v="149"/>
    </i>
    <i r="1">
      <x v="163"/>
    </i>
    <i r="1">
      <x v="183"/>
    </i>
    <i r="1">
      <x v="214"/>
    </i>
    <i r="1">
      <x v="215"/>
    </i>
    <i r="1">
      <x v="277"/>
    </i>
    <i r="1">
      <x v="278"/>
    </i>
    <i r="1">
      <x v="295"/>
    </i>
    <i r="1">
      <x v="312"/>
    </i>
    <i r="1">
      <x v="358"/>
    </i>
    <i r="1">
      <x v="361"/>
    </i>
    <i r="1">
      <x v="362"/>
    </i>
    <i r="1">
      <x v="402"/>
    </i>
    <i r="1">
      <x v="442"/>
    </i>
    <i r="1">
      <x v="465"/>
    </i>
    <i r="1">
      <x v="538"/>
    </i>
    <i r="1">
      <x v="539"/>
    </i>
    <i r="1">
      <x v="544"/>
    </i>
    <i r="1">
      <x v="642"/>
    </i>
    <i r="1">
      <x v="646"/>
    </i>
    <i r="1">
      <x v="649"/>
    </i>
    <i t="default">
      <x v="6"/>
    </i>
    <i>
      <x v="7"/>
      <x v="142"/>
    </i>
    <i t="default">
      <x v="7"/>
    </i>
    <i>
      <x v="8"/>
      <x v="146"/>
    </i>
    <i r="1">
      <x v="179"/>
    </i>
    <i t="default">
      <x v="8"/>
    </i>
    <i>
      <x v="9"/>
      <x v="108"/>
    </i>
    <i r="1">
      <x v="185"/>
    </i>
    <i r="1">
      <x v="474"/>
    </i>
    <i r="1">
      <x v="483"/>
    </i>
    <i r="1">
      <x v="484"/>
    </i>
    <i r="1">
      <x v="490"/>
    </i>
    <i r="1">
      <x v="591"/>
    </i>
    <i r="1">
      <x v="628"/>
    </i>
    <i r="1">
      <x v="629"/>
    </i>
    <i r="1">
      <x v="635"/>
    </i>
    <i r="1">
      <x v="713"/>
    </i>
    <i t="default">
      <x v="9"/>
    </i>
    <i>
      <x v="10"/>
      <x v="486"/>
    </i>
    <i r="1">
      <x v="631"/>
    </i>
    <i t="default">
      <x v="10"/>
    </i>
    <i>
      <x v="11"/>
      <x v="4"/>
    </i>
    <i r="1">
      <x v="19"/>
    </i>
    <i r="1">
      <x v="22"/>
    </i>
    <i r="1">
      <x v="29"/>
    </i>
    <i r="1">
      <x v="49"/>
    </i>
    <i r="1">
      <x v="81"/>
    </i>
    <i r="1">
      <x v="82"/>
    </i>
    <i r="1">
      <x v="98"/>
    </i>
    <i r="1">
      <x v="128"/>
    </i>
    <i r="1">
      <x v="143"/>
    </i>
    <i r="1">
      <x v="148"/>
    </i>
    <i r="1">
      <x v="160"/>
    </i>
    <i r="1">
      <x v="211"/>
    </i>
    <i r="1">
      <x v="220"/>
    </i>
    <i r="1">
      <x v="273"/>
    </i>
    <i r="1">
      <x v="294"/>
    </i>
    <i r="1">
      <x v="339"/>
    </i>
    <i r="1">
      <x v="376"/>
    </i>
    <i r="1">
      <x v="406"/>
    </i>
    <i r="1">
      <x v="428"/>
    </i>
    <i r="1">
      <x v="435"/>
    </i>
    <i r="1">
      <x v="466"/>
    </i>
    <i r="1">
      <x v="469"/>
    </i>
    <i r="1">
      <x v="501"/>
    </i>
    <i r="1">
      <x v="508"/>
    </i>
    <i r="1">
      <x v="522"/>
    </i>
    <i r="1">
      <x v="543"/>
    </i>
    <i r="1">
      <x v="566"/>
    </i>
    <i r="1">
      <x v="647"/>
    </i>
    <i r="1">
      <x v="648"/>
    </i>
    <i r="1">
      <x v="652"/>
    </i>
    <i r="1">
      <x v="694"/>
    </i>
    <i r="1">
      <x v="696"/>
    </i>
    <i t="default">
      <x v="11"/>
    </i>
    <i>
      <x v="12"/>
      <x v="15"/>
    </i>
    <i r="1">
      <x v="85"/>
    </i>
    <i r="1">
      <x v="122"/>
    </i>
    <i r="1">
      <x v="198"/>
    </i>
    <i r="1">
      <x v="201"/>
    </i>
    <i r="1">
      <x v="235"/>
    </i>
    <i r="1">
      <x v="249"/>
    </i>
    <i r="1">
      <x v="283"/>
    </i>
    <i r="1">
      <x v="289"/>
    </i>
    <i r="1">
      <x v="298"/>
    </i>
    <i r="1">
      <x v="325"/>
    </i>
    <i r="1">
      <x v="373"/>
    </i>
    <i r="1">
      <x v="405"/>
    </i>
    <i r="1">
      <x v="429"/>
    </i>
    <i r="1">
      <x v="499"/>
    </i>
    <i r="1">
      <x v="500"/>
    </i>
    <i r="1">
      <x v="502"/>
    </i>
    <i r="1">
      <x v="560"/>
    </i>
    <i r="1">
      <x v="562"/>
    </i>
    <i r="1">
      <x v="615"/>
    </i>
    <i r="1">
      <x v="624"/>
    </i>
    <i r="1">
      <x v="727"/>
    </i>
    <i t="default">
      <x v="12"/>
    </i>
    <i>
      <x v="13"/>
      <x v="92"/>
    </i>
    <i r="1">
      <x v="112"/>
    </i>
    <i r="1">
      <x v="238"/>
    </i>
    <i r="1">
      <x v="311"/>
    </i>
    <i r="1">
      <x v="344"/>
    </i>
    <i r="1">
      <x v="370"/>
    </i>
    <i r="1">
      <x v="377"/>
    </i>
    <i r="1">
      <x v="416"/>
    </i>
    <i r="1">
      <x v="601"/>
    </i>
    <i r="1">
      <x v="613"/>
    </i>
    <i r="1">
      <x v="621"/>
    </i>
    <i r="1">
      <x v="686"/>
    </i>
    <i t="default">
      <x v="13"/>
    </i>
    <i>
      <x v="14"/>
      <x v="24"/>
    </i>
    <i r="1">
      <x v="51"/>
    </i>
    <i r="1">
      <x v="58"/>
    </i>
    <i r="1">
      <x v="101"/>
    </i>
    <i r="1">
      <x v="180"/>
    </i>
    <i r="1">
      <x v="210"/>
    </i>
    <i r="1">
      <x v="272"/>
    </i>
    <i r="1">
      <x v="329"/>
    </i>
    <i r="1">
      <x v="347"/>
    </i>
    <i r="1">
      <x v="369"/>
    </i>
    <i r="1">
      <x v="371"/>
    </i>
    <i r="1">
      <x v="521"/>
    </i>
    <i r="1">
      <x v="528"/>
    </i>
    <i r="1">
      <x v="545"/>
    </i>
    <i r="1">
      <x v="549"/>
    </i>
    <i r="1">
      <x v="558"/>
    </i>
    <i r="1">
      <x v="574"/>
    </i>
    <i r="1">
      <x v="604"/>
    </i>
    <i r="1">
      <x v="640"/>
    </i>
    <i r="1">
      <x v="681"/>
    </i>
    <i t="default">
      <x v="14"/>
    </i>
    <i>
      <x v="15"/>
      <x v="96"/>
    </i>
    <i r="1">
      <x v="123"/>
    </i>
    <i r="1">
      <x v="158"/>
    </i>
    <i r="1">
      <x v="164"/>
    </i>
    <i r="1">
      <x v="181"/>
    </i>
    <i r="1">
      <x v="193"/>
    </i>
    <i r="1">
      <x v="213"/>
    </i>
    <i r="1">
      <x v="221"/>
    </i>
    <i r="1">
      <x v="223"/>
    </i>
    <i r="1">
      <x v="231"/>
    </i>
    <i r="1">
      <x v="247"/>
    </i>
    <i r="1">
      <x v="274"/>
    </i>
    <i r="1">
      <x v="343"/>
    </i>
    <i r="1">
      <x v="349"/>
    </i>
    <i r="1">
      <x v="382"/>
    </i>
    <i r="1">
      <x v="387"/>
    </i>
    <i r="1">
      <x v="494"/>
    </i>
    <i r="1">
      <x v="496"/>
    </i>
    <i r="1">
      <x v="550"/>
    </i>
    <i r="1">
      <x v="552"/>
    </i>
    <i r="1">
      <x v="570"/>
    </i>
    <i r="1">
      <x v="589"/>
    </i>
    <i r="1">
      <x v="610"/>
    </i>
    <i r="1">
      <x v="722"/>
    </i>
    <i t="default">
      <x v="15"/>
    </i>
    <i>
      <x v="16"/>
      <x v="37"/>
    </i>
    <i r="1">
      <x v="52"/>
    </i>
    <i r="1">
      <x v="53"/>
    </i>
    <i r="1">
      <x v="71"/>
    </i>
    <i r="1">
      <x v="72"/>
    </i>
    <i r="1">
      <x v="88"/>
    </i>
    <i r="1">
      <x v="111"/>
    </i>
    <i r="1">
      <x v="129"/>
    </i>
    <i r="1">
      <x v="130"/>
    </i>
    <i r="1">
      <x v="132"/>
    </i>
    <i r="1">
      <x v="145"/>
    </i>
    <i r="1">
      <x v="155"/>
    </i>
    <i r="1">
      <x v="167"/>
    </i>
    <i r="1">
      <x v="207"/>
    </i>
    <i r="1">
      <x v="230"/>
    </i>
    <i r="1">
      <x v="244"/>
    </i>
    <i r="1">
      <x v="246"/>
    </i>
    <i r="1">
      <x v="348"/>
    </i>
    <i r="1">
      <x v="352"/>
    </i>
    <i r="1">
      <x v="359"/>
    </i>
    <i r="1">
      <x v="419"/>
    </i>
    <i r="1">
      <x v="447"/>
    </i>
    <i r="1">
      <x v="536"/>
    </i>
    <i r="1">
      <x v="547"/>
    </i>
    <i r="1">
      <x v="602"/>
    </i>
    <i r="1">
      <x v="677"/>
    </i>
    <i r="1">
      <x v="682"/>
    </i>
    <i r="1">
      <x v="692"/>
    </i>
    <i r="1">
      <x v="700"/>
    </i>
    <i r="1">
      <x v="726"/>
    </i>
    <i t="default">
      <x v="16"/>
    </i>
    <i>
      <x v="17"/>
      <x v="9"/>
    </i>
    <i r="1">
      <x v="194"/>
    </i>
    <i r="1">
      <x v="256"/>
    </i>
    <i r="1">
      <x v="314"/>
    </i>
    <i r="1">
      <x v="327"/>
    </i>
    <i r="1">
      <x v="356"/>
    </i>
    <i r="1">
      <x v="364"/>
    </i>
    <i r="1">
      <x v="365"/>
    </i>
    <i r="1">
      <x v="411"/>
    </i>
    <i r="1">
      <x v="495"/>
    </i>
    <i r="1">
      <x v="509"/>
    </i>
    <i r="1">
      <x v="661"/>
    </i>
    <i r="1">
      <x v="664"/>
    </i>
    <i r="1">
      <x v="711"/>
    </i>
    <i t="default">
      <x v="17"/>
    </i>
    <i>
      <x v="18"/>
      <x v="322"/>
    </i>
    <i r="1">
      <x v="385"/>
    </i>
    <i t="default">
      <x v="18"/>
    </i>
    <i>
      <x v="19"/>
      <x v="380"/>
    </i>
    <i t="default">
      <x v="19"/>
    </i>
    <i>
      <x v="20"/>
      <x v="2"/>
    </i>
    <i r="1">
      <x v="12"/>
    </i>
    <i r="1">
      <x v="27"/>
    </i>
    <i r="1">
      <x v="32"/>
    </i>
    <i r="1">
      <x v="42"/>
    </i>
    <i r="1">
      <x v="65"/>
    </i>
    <i r="1">
      <x v="74"/>
    </i>
    <i r="1">
      <x v="84"/>
    </i>
    <i r="1">
      <x v="87"/>
    </i>
    <i r="1">
      <x v="105"/>
    </i>
    <i r="1">
      <x v="110"/>
    </i>
    <i r="1">
      <x v="126"/>
    </i>
    <i r="1">
      <x v="127"/>
    </i>
    <i r="1">
      <x v="147"/>
    </i>
    <i r="1">
      <x v="153"/>
    </i>
    <i r="1">
      <x v="161"/>
    </i>
    <i r="1">
      <x v="165"/>
    </i>
    <i r="1">
      <x v="178"/>
    </i>
    <i r="1">
      <x v="232"/>
    </i>
    <i r="1">
      <x v="236"/>
    </i>
    <i r="1">
      <x v="241"/>
    </i>
    <i r="1">
      <x v="252"/>
    </i>
    <i r="1">
      <x v="259"/>
    </i>
    <i r="1">
      <x v="260"/>
    </i>
    <i r="1">
      <x v="282"/>
    </i>
    <i r="1">
      <x v="331"/>
    </i>
    <i r="1">
      <x v="337"/>
    </i>
    <i r="1">
      <x v="338"/>
    </i>
    <i r="1">
      <x v="408"/>
    </i>
    <i r="1">
      <x v="417"/>
    </i>
    <i r="1">
      <x v="418"/>
    </i>
    <i r="1">
      <x v="436"/>
    </i>
    <i r="1">
      <x v="454"/>
    </i>
    <i r="1">
      <x v="467"/>
    </i>
    <i r="1">
      <x v="472"/>
    </i>
    <i r="1">
      <x v="478"/>
    </i>
    <i r="1">
      <x v="503"/>
    </i>
    <i r="1">
      <x v="540"/>
    </i>
    <i r="1">
      <x v="542"/>
    </i>
    <i r="1">
      <x v="555"/>
    </i>
    <i r="1">
      <x v="559"/>
    </i>
    <i r="1">
      <x v="567"/>
    </i>
    <i r="1">
      <x v="583"/>
    </i>
    <i r="1">
      <x v="585"/>
    </i>
    <i r="1">
      <x v="587"/>
    </i>
    <i r="1">
      <x v="592"/>
    </i>
    <i r="1">
      <x v="595"/>
    </i>
    <i r="1">
      <x v="599"/>
    </i>
    <i r="1">
      <x v="603"/>
    </i>
    <i r="1">
      <x v="608"/>
    </i>
    <i r="1">
      <x v="612"/>
    </i>
    <i r="1">
      <x v="665"/>
    </i>
    <i r="1">
      <x v="683"/>
    </i>
    <i r="1">
      <x v="685"/>
    </i>
    <i r="1">
      <x v="699"/>
    </i>
    <i t="default">
      <x v="20"/>
    </i>
    <i>
      <x v="21"/>
      <x v="5"/>
    </i>
    <i r="1">
      <x v="8"/>
    </i>
    <i r="1">
      <x v="18"/>
    </i>
    <i r="1">
      <x v="34"/>
    </i>
    <i r="1">
      <x v="69"/>
    </i>
    <i r="1">
      <x v="79"/>
    </i>
    <i r="1">
      <x v="103"/>
    </i>
    <i r="1">
      <x v="119"/>
    </i>
    <i r="1">
      <x v="172"/>
    </i>
    <i r="1">
      <x v="208"/>
    </i>
    <i r="1">
      <x v="227"/>
    </i>
    <i r="1">
      <x v="248"/>
    </i>
    <i r="1">
      <x v="268"/>
    </i>
    <i r="1">
      <x v="269"/>
    </i>
    <i r="1">
      <x v="354"/>
    </i>
    <i r="1">
      <x v="383"/>
    </i>
    <i r="1">
      <x v="440"/>
    </i>
    <i r="1">
      <x v="441"/>
    </i>
    <i r="1">
      <x v="455"/>
    </i>
    <i r="1">
      <x v="462"/>
    </i>
    <i r="1">
      <x v="463"/>
    </i>
    <i r="1">
      <x v="468"/>
    </i>
    <i r="1">
      <x v="492"/>
    </i>
    <i r="1">
      <x v="497"/>
    </i>
    <i r="1">
      <x v="505"/>
    </i>
    <i r="1">
      <x v="529"/>
    </i>
    <i r="1">
      <x v="537"/>
    </i>
    <i r="1">
      <x v="556"/>
    </i>
    <i r="1">
      <x v="578"/>
    </i>
    <i r="1">
      <x v="582"/>
    </i>
    <i r="1">
      <x v="611"/>
    </i>
    <i r="1">
      <x v="622"/>
    </i>
    <i r="1">
      <x v="658"/>
    </i>
    <i r="1">
      <x v="709"/>
    </i>
    <i r="1">
      <x v="710"/>
    </i>
    <i r="1">
      <x v="729"/>
    </i>
    <i t="default">
      <x v="21"/>
    </i>
    <i>
      <x v="22"/>
      <x v="94"/>
    </i>
    <i r="1">
      <x v="117"/>
    </i>
    <i r="1">
      <x v="136"/>
    </i>
    <i r="1">
      <x v="257"/>
    </i>
    <i r="1">
      <x v="258"/>
    </i>
    <i r="1">
      <x v="290"/>
    </i>
    <i r="1">
      <x v="299"/>
    </i>
    <i r="1">
      <x v="304"/>
    </i>
    <i r="1">
      <x v="310"/>
    </i>
    <i r="1">
      <x v="481"/>
    </i>
    <i r="1">
      <x v="518"/>
    </i>
    <i r="1">
      <x v="586"/>
    </i>
    <i r="1">
      <x v="651"/>
    </i>
    <i r="1">
      <x v="656"/>
    </i>
    <i r="1">
      <x v="663"/>
    </i>
    <i r="1">
      <x v="684"/>
    </i>
    <i t="default">
      <x v="22"/>
    </i>
    <i>
      <x v="23"/>
      <x v="186"/>
    </i>
    <i r="1">
      <x v="188"/>
    </i>
    <i r="1">
      <x v="190"/>
    </i>
    <i r="1">
      <x v="485"/>
    </i>
    <i r="1">
      <x v="561"/>
    </i>
    <i r="1">
      <x v="630"/>
    </i>
    <i r="1">
      <x v="636"/>
    </i>
    <i r="1">
      <x v="637"/>
    </i>
    <i r="1">
      <x v="714"/>
    </i>
    <i r="1">
      <x v="716"/>
    </i>
    <i r="1">
      <x v="719"/>
    </i>
    <i t="default">
      <x v="23"/>
    </i>
    <i>
      <x v="24"/>
      <x v="6"/>
    </i>
    <i r="1">
      <x v="115"/>
    </i>
    <i r="1">
      <x v="353"/>
    </i>
    <i r="1">
      <x v="384"/>
    </i>
    <i r="1">
      <x v="396"/>
    </i>
    <i r="1">
      <x v="414"/>
    </i>
    <i r="1">
      <x v="571"/>
    </i>
    <i r="1">
      <x v="590"/>
    </i>
    <i t="default">
      <x v="24"/>
    </i>
    <i>
      <x v="25"/>
      <x/>
    </i>
    <i r="1">
      <x v="176"/>
    </i>
    <i r="1">
      <x v="345"/>
    </i>
    <i r="1">
      <x v="350"/>
    </i>
    <i r="1">
      <x v="390"/>
    </i>
    <i r="1">
      <x v="433"/>
    </i>
    <i r="1">
      <x v="480"/>
    </i>
    <i r="1">
      <x v="516"/>
    </i>
    <i r="1">
      <x v="517"/>
    </i>
    <i r="1">
      <x v="676"/>
    </i>
    <i r="1">
      <x v="724"/>
    </i>
    <i r="1">
      <x v="730"/>
    </i>
    <i t="default">
      <x v="25"/>
    </i>
    <i>
      <x v="26"/>
      <x v="25"/>
    </i>
    <i r="1">
      <x v="43"/>
    </i>
    <i r="1">
      <x v="44"/>
    </i>
    <i r="1">
      <x v="61"/>
    </i>
    <i r="1">
      <x v="77"/>
    </i>
    <i r="1">
      <x v="99"/>
    </i>
    <i r="1">
      <x v="141"/>
    </i>
    <i r="1">
      <x v="156"/>
    </i>
    <i r="1">
      <x v="169"/>
    </i>
    <i r="1">
      <x v="209"/>
    </i>
    <i r="1">
      <x v="212"/>
    </i>
    <i r="1">
      <x v="261"/>
    </i>
    <i r="1">
      <x v="265"/>
    </i>
    <i r="1">
      <x v="287"/>
    </i>
    <i r="1">
      <x v="300"/>
    </i>
    <i r="1">
      <x v="309"/>
    </i>
    <i r="1">
      <x v="333"/>
    </i>
    <i r="1">
      <x v="334"/>
    </i>
    <i r="1">
      <x v="341"/>
    </i>
    <i r="1">
      <x v="360"/>
    </i>
    <i r="1">
      <x v="413"/>
    </i>
    <i r="1">
      <x v="424"/>
    </i>
    <i r="1">
      <x v="448"/>
    </i>
    <i r="1">
      <x v="471"/>
    </i>
    <i r="1">
      <x v="491"/>
    </i>
    <i r="1">
      <x v="532"/>
    </i>
    <i r="1">
      <x v="557"/>
    </i>
    <i r="1">
      <x v="575"/>
    </i>
    <i r="1">
      <x v="641"/>
    </i>
    <i r="1">
      <x v="644"/>
    </i>
    <i t="default">
      <x v="26"/>
    </i>
    <i>
      <x v="27"/>
      <x v="319"/>
    </i>
    <i r="1">
      <x v="404"/>
    </i>
    <i r="1">
      <x v="526"/>
    </i>
    <i r="1">
      <x v="728"/>
    </i>
    <i t="default">
      <x v="27"/>
    </i>
    <i>
      <x v="28"/>
      <x v="20"/>
    </i>
    <i r="1">
      <x v="63"/>
    </i>
    <i r="1">
      <x v="68"/>
    </i>
    <i r="1">
      <x v="199"/>
    </i>
    <i r="1">
      <x v="202"/>
    </i>
    <i r="1">
      <x v="204"/>
    </i>
    <i r="1">
      <x v="206"/>
    </i>
    <i r="1">
      <x v="234"/>
    </i>
    <i r="1">
      <x v="253"/>
    </i>
    <i r="1">
      <x v="266"/>
    </i>
    <i r="1">
      <x v="318"/>
    </i>
    <i r="1">
      <x v="395"/>
    </i>
    <i r="1">
      <x v="420"/>
    </i>
    <i r="1">
      <x v="431"/>
    </i>
    <i r="1">
      <x v="432"/>
    </i>
    <i r="1">
      <x v="438"/>
    </i>
    <i r="1">
      <x v="510"/>
    </i>
    <i r="1">
      <x v="511"/>
    </i>
    <i r="1">
      <x v="565"/>
    </i>
    <i r="1">
      <x v="579"/>
    </i>
    <i r="1">
      <x v="593"/>
    </i>
    <i r="1">
      <x v="653"/>
    </i>
    <i t="default">
      <x v="28"/>
    </i>
    <i>
      <x v="29"/>
      <x v="7"/>
    </i>
    <i r="1">
      <x v="14"/>
    </i>
    <i r="1">
      <x v="56"/>
    </i>
    <i r="1">
      <x v="59"/>
    </i>
    <i r="1">
      <x v="62"/>
    </i>
    <i r="1">
      <x v="80"/>
    </i>
    <i r="1">
      <x v="83"/>
    </i>
    <i r="1">
      <x v="91"/>
    </i>
    <i r="1">
      <x v="104"/>
    </i>
    <i r="1">
      <x v="135"/>
    </i>
    <i r="1">
      <x v="137"/>
    </i>
    <i r="1">
      <x v="154"/>
    </i>
    <i r="1">
      <x v="170"/>
    </i>
    <i r="1">
      <x v="182"/>
    </i>
    <i r="1">
      <x v="239"/>
    </i>
    <i r="1">
      <x v="263"/>
    </i>
    <i r="1">
      <x v="264"/>
    </i>
    <i r="1">
      <x v="270"/>
    </i>
    <i r="1">
      <x v="284"/>
    </i>
    <i r="1">
      <x v="288"/>
    </i>
    <i r="1">
      <x v="291"/>
    </i>
    <i r="1">
      <x v="320"/>
    </i>
    <i r="1">
      <x v="363"/>
    </i>
    <i r="1">
      <x v="453"/>
    </i>
    <i r="1">
      <x v="498"/>
    </i>
    <i r="1">
      <x v="524"/>
    </i>
    <i r="1">
      <x v="546"/>
    </i>
    <i r="1">
      <x v="584"/>
    </i>
    <i r="1">
      <x v="609"/>
    </i>
    <i r="1">
      <x v="614"/>
    </i>
    <i r="1">
      <x v="638"/>
    </i>
    <i r="1">
      <x v="675"/>
    </i>
    <i r="1">
      <x v="678"/>
    </i>
    <i t="default">
      <x v="29"/>
    </i>
    <i>
      <x v="30"/>
      <x v="192"/>
    </i>
    <i r="1">
      <x v="488"/>
    </i>
    <i r="1">
      <x v="633"/>
    </i>
    <i r="1">
      <x v="721"/>
    </i>
    <i t="default">
      <x v="30"/>
    </i>
    <i>
      <x v="31"/>
      <x v="30"/>
    </i>
    <i r="1">
      <x v="124"/>
    </i>
    <i r="1">
      <x v="125"/>
    </i>
    <i r="1">
      <x v="138"/>
    </i>
    <i r="1">
      <x v="140"/>
    </i>
    <i r="1">
      <x v="166"/>
    </i>
    <i r="1">
      <x v="177"/>
    </i>
    <i r="1">
      <x v="195"/>
    </i>
    <i r="1">
      <x v="302"/>
    </i>
    <i r="1">
      <x v="308"/>
    </i>
    <i r="1">
      <x v="317"/>
    </i>
    <i r="1">
      <x v="326"/>
    </i>
    <i r="1">
      <x v="368"/>
    </i>
    <i r="1">
      <x v="399"/>
    </i>
    <i r="1">
      <x v="423"/>
    </i>
    <i r="1">
      <x v="451"/>
    </i>
    <i r="1">
      <x v="460"/>
    </i>
    <i r="1">
      <x v="476"/>
    </i>
    <i r="1">
      <x v="515"/>
    </i>
    <i r="1">
      <x v="527"/>
    </i>
    <i r="1">
      <x v="548"/>
    </i>
    <i r="1">
      <x v="554"/>
    </i>
    <i r="1">
      <x v="572"/>
    </i>
    <i r="1">
      <x v="618"/>
    </i>
    <i r="1">
      <x v="657"/>
    </i>
    <i r="1">
      <x v="659"/>
    </i>
    <i r="1">
      <x v="660"/>
    </i>
    <i r="1">
      <x v="662"/>
    </i>
    <i r="1">
      <x v="668"/>
    </i>
    <i r="1">
      <x v="669"/>
    </i>
    <i r="1">
      <x v="670"/>
    </i>
    <i r="1">
      <x v="671"/>
    </i>
    <i r="1">
      <x v="672"/>
    </i>
    <i r="1">
      <x v="673"/>
    </i>
    <i r="1">
      <x v="674"/>
    </i>
    <i r="1">
      <x v="698"/>
    </i>
    <i r="1">
      <x v="702"/>
    </i>
    <i r="1">
      <x v="703"/>
    </i>
    <i t="default">
      <x v="31"/>
    </i>
    <i>
      <x v="32"/>
      <x v="1"/>
    </i>
    <i r="1">
      <x v="76"/>
    </i>
    <i r="1">
      <x v="255"/>
    </i>
    <i r="1">
      <x v="262"/>
    </i>
    <i r="1">
      <x v="276"/>
    </i>
    <i r="1">
      <x v="280"/>
    </i>
    <i r="1">
      <x v="292"/>
    </i>
    <i r="1">
      <x v="303"/>
    </i>
    <i r="1">
      <x v="324"/>
    </i>
    <i r="1">
      <x v="336"/>
    </i>
    <i r="1">
      <x v="357"/>
    </i>
    <i r="1">
      <x v="400"/>
    </i>
    <i r="1">
      <x v="403"/>
    </i>
    <i r="1">
      <x v="415"/>
    </i>
    <i r="1">
      <x v="425"/>
    </i>
    <i r="1">
      <x v="426"/>
    </i>
    <i r="1">
      <x v="439"/>
    </i>
    <i r="1">
      <x v="452"/>
    </i>
    <i r="1">
      <x v="459"/>
    </i>
    <i r="1">
      <x v="464"/>
    </i>
    <i r="1">
      <x v="477"/>
    </i>
    <i r="1">
      <x v="479"/>
    </i>
    <i r="1">
      <x v="514"/>
    </i>
    <i r="1">
      <x v="541"/>
    </i>
    <i r="1">
      <x v="553"/>
    </i>
    <i r="1">
      <x v="577"/>
    </i>
    <i r="1">
      <x v="607"/>
    </i>
    <i r="1">
      <x v="650"/>
    </i>
    <i r="1">
      <x v="701"/>
    </i>
    <i r="1">
      <x v="706"/>
    </i>
    <i r="1">
      <x v="707"/>
    </i>
    <i r="1">
      <x v="708"/>
    </i>
    <i r="1">
      <x v="725"/>
    </i>
    <i t="default">
      <x v="32"/>
    </i>
    <i>
      <x v="33"/>
      <x v="162"/>
    </i>
    <i r="1">
      <x v="225"/>
    </i>
    <i r="1">
      <x v="342"/>
    </i>
    <i r="1">
      <x v="489"/>
    </i>
    <i r="1">
      <x v="588"/>
    </i>
    <i r="1">
      <x v="634"/>
    </i>
    <i r="1">
      <x v="687"/>
    </i>
    <i r="1">
      <x v="723"/>
    </i>
    <i t="default">
      <x v="33"/>
    </i>
    <i>
      <x v="34"/>
      <x v="3"/>
    </i>
    <i r="1">
      <x v="10"/>
    </i>
    <i r="1">
      <x v="16"/>
    </i>
    <i r="1">
      <x v="17"/>
    </i>
    <i r="1">
      <x v="21"/>
    </i>
    <i r="1">
      <x v="33"/>
    </i>
    <i r="1">
      <x v="35"/>
    </i>
    <i r="1">
      <x v="36"/>
    </i>
    <i r="1">
      <x v="39"/>
    </i>
    <i r="1">
      <x v="40"/>
    </i>
    <i r="1">
      <x v="45"/>
    </i>
    <i r="1">
      <x v="48"/>
    </i>
    <i r="1">
      <x v="50"/>
    </i>
    <i r="1">
      <x v="57"/>
    </i>
    <i r="1">
      <x v="60"/>
    </i>
    <i r="1">
      <x v="67"/>
    </i>
    <i r="1">
      <x v="75"/>
    </i>
    <i r="1">
      <x v="90"/>
    </i>
    <i r="1">
      <x v="100"/>
    </i>
    <i r="1">
      <x v="102"/>
    </i>
    <i r="1">
      <x v="116"/>
    </i>
    <i r="1">
      <x v="133"/>
    </i>
    <i r="1">
      <x v="159"/>
    </i>
    <i r="1">
      <x v="196"/>
    </i>
    <i r="1">
      <x v="197"/>
    </i>
    <i r="1">
      <x v="200"/>
    </i>
    <i r="1">
      <x v="203"/>
    </i>
    <i r="1">
      <x v="205"/>
    </i>
    <i r="1">
      <x v="216"/>
    </i>
    <i r="1">
      <x v="218"/>
    </i>
    <i r="1">
      <x v="219"/>
    </i>
    <i r="1">
      <x v="226"/>
    </i>
    <i r="1">
      <x v="229"/>
    </i>
    <i r="1">
      <x v="238"/>
    </i>
    <i r="1">
      <x v="240"/>
    </i>
    <i r="1">
      <x v="242"/>
    </i>
    <i r="1">
      <x v="245"/>
    </i>
    <i r="1">
      <x v="267"/>
    </i>
    <i r="1">
      <x v="279"/>
    </i>
    <i r="1">
      <x v="285"/>
    </i>
    <i r="1">
      <x v="313"/>
    </i>
    <i r="1">
      <x v="315"/>
    </i>
    <i r="1">
      <x v="316"/>
    </i>
    <i r="1">
      <x v="328"/>
    </i>
    <i r="1">
      <x v="332"/>
    </i>
    <i r="1">
      <x v="340"/>
    </i>
    <i r="1">
      <x v="375"/>
    </i>
    <i r="1">
      <x v="381"/>
    </i>
    <i r="1">
      <x v="394"/>
    </i>
    <i r="1">
      <x v="401"/>
    </i>
    <i r="1">
      <x v="407"/>
    </i>
    <i r="1">
      <x v="409"/>
    </i>
    <i r="1">
      <x v="421"/>
    </i>
    <i r="1">
      <x v="422"/>
    </i>
    <i r="1">
      <x v="427"/>
    </i>
    <i r="1">
      <x v="430"/>
    </i>
    <i r="1">
      <x v="434"/>
    </i>
    <i r="1">
      <x v="445"/>
    </i>
    <i r="1">
      <x v="519"/>
    </i>
    <i r="1">
      <x v="524"/>
    </i>
    <i r="1">
      <x v="525"/>
    </i>
    <i r="1">
      <x v="535"/>
    </i>
    <i r="1">
      <x v="551"/>
    </i>
    <i r="1">
      <x v="568"/>
    </i>
    <i r="1">
      <x v="576"/>
    </i>
    <i r="1">
      <x v="580"/>
    </i>
    <i r="1">
      <x v="594"/>
    </i>
    <i r="1">
      <x v="596"/>
    </i>
    <i r="1">
      <x v="605"/>
    </i>
    <i r="1">
      <x v="606"/>
    </i>
    <i r="1">
      <x v="617"/>
    </i>
    <i r="1">
      <x v="623"/>
    </i>
    <i r="1">
      <x v="643"/>
    </i>
    <i r="1">
      <x v="688"/>
    </i>
    <i r="1">
      <x v="697"/>
    </i>
    <i t="default">
      <x v="34"/>
    </i>
    <i>
      <x v="35"/>
      <x v="13"/>
    </i>
    <i r="1">
      <x v="38"/>
    </i>
    <i r="1">
      <x v="113"/>
    </i>
    <i r="1">
      <x v="114"/>
    </i>
    <i r="1">
      <x v="157"/>
    </i>
    <i r="1">
      <x v="243"/>
    </i>
    <i r="1">
      <x v="456"/>
    </i>
    <i r="1">
      <x v="513"/>
    </i>
    <i r="1">
      <x v="520"/>
    </i>
    <i r="1">
      <x v="564"/>
    </i>
    <i r="1">
      <x v="655"/>
    </i>
    <i r="1">
      <x v="680"/>
    </i>
    <i r="1">
      <x v="693"/>
    </i>
    <i t="default">
      <x v="35"/>
    </i>
    <i>
      <x v="36"/>
      <x v="11"/>
    </i>
    <i r="1">
      <x v="55"/>
    </i>
    <i r="1">
      <x v="93"/>
    </i>
    <i r="1">
      <x v="139"/>
    </i>
    <i r="1">
      <x v="144"/>
    </i>
    <i r="1">
      <x v="151"/>
    </i>
    <i r="1">
      <x v="251"/>
    </i>
    <i r="1">
      <x v="254"/>
    </i>
    <i r="1">
      <x v="271"/>
    </i>
    <i r="1">
      <x v="286"/>
    </i>
    <i r="1">
      <x v="301"/>
    </i>
    <i r="1">
      <x v="355"/>
    </i>
    <i r="1">
      <x v="412"/>
    </i>
    <i r="1">
      <x v="444"/>
    </i>
    <i r="1">
      <x v="449"/>
    </i>
    <i r="1">
      <x v="482"/>
    </i>
    <i r="1">
      <x v="506"/>
    </i>
    <i r="1">
      <x v="507"/>
    </i>
    <i r="1">
      <x v="530"/>
    </i>
    <i r="1">
      <x v="531"/>
    </i>
    <i r="1">
      <x v="534"/>
    </i>
    <i r="1">
      <x v="626"/>
    </i>
    <i r="1">
      <x v="691"/>
    </i>
    <i t="default">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evtable" displayName="Devtable" ref="E1:M8" totalsRowShown="0" headerRowDxfId="2" tableBorderDxfId="1">
  <tableColumns count="9">
    <tableColumn id="1" name="Financial Norms and Banking Criteria" dataDxfId="0"/>
    <tableColumn id="2" name="Inward Cheque Returns"/>
    <tableColumn id="3" name="Promoter Experience"/>
    <tableColumn id="4" name="Age of Borrower"/>
    <tableColumn id="5" name="Equipment_Manufacturer not listed"/>
    <tableColumn id="6" name="Bureau Norms"/>
    <tableColumn id="8" name="LTV Deviation"/>
    <tableColumn id="9" name="Moratorium"/>
    <tableColumn id="7" name="Other Dev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askbankifsccode.com/"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V247"/>
  <sheetViews>
    <sheetView showGridLines="0" tabSelected="1" topLeftCell="A16" zoomScale="80" zoomScaleNormal="80" workbookViewId="0">
      <selection activeCell="B33" sqref="B33:D33"/>
    </sheetView>
  </sheetViews>
  <sheetFormatPr defaultColWidth="0" defaultRowHeight="15" zeroHeight="1"/>
  <cols>
    <col min="1" max="1" width="2.42578125" style="78" customWidth="1"/>
    <col min="2" max="4" width="10.28515625" style="130" customWidth="1"/>
    <col min="5" max="5" width="10.85546875" style="130" bestFit="1" customWidth="1"/>
    <col min="6" max="7" width="10.28515625" style="130" customWidth="1"/>
    <col min="8" max="8" width="12.42578125" style="130" bestFit="1" customWidth="1"/>
    <col min="9" max="9" width="10.28515625" style="130" customWidth="1"/>
    <col min="10" max="10" width="14.140625" style="130" customWidth="1"/>
    <col min="11" max="11" width="16" style="130" customWidth="1"/>
    <col min="12" max="12" width="11.28515625" style="130" bestFit="1" customWidth="1"/>
    <col min="13" max="13" width="10.28515625" style="130" customWidth="1"/>
    <col min="14" max="14" width="10.7109375" style="130" customWidth="1"/>
    <col min="15" max="15" width="11.140625" style="130" customWidth="1"/>
    <col min="16" max="16" width="10.7109375" style="130" customWidth="1"/>
    <col min="17" max="17" width="13" style="130" customWidth="1"/>
    <col min="18" max="18" width="10.7109375" style="130" customWidth="1"/>
    <col min="19" max="19" width="15.28515625" style="130" customWidth="1"/>
    <col min="20" max="20" width="10.7109375" style="130" customWidth="1"/>
    <col min="21" max="21" width="11.85546875" style="130" customWidth="1"/>
    <col min="22" max="22" width="9.140625" style="78" customWidth="1"/>
    <col min="23" max="16384" width="9.140625" style="130" hidden="1"/>
  </cols>
  <sheetData>
    <row r="1" spans="1:21" s="78" customFormat="1">
      <c r="B1" s="614" t="s">
        <v>1802</v>
      </c>
      <c r="C1" s="614"/>
      <c r="D1" s="614"/>
      <c r="E1" s="614"/>
    </row>
    <row r="2" spans="1:21" ht="36" customHeight="1">
      <c r="B2" s="561" t="s">
        <v>201</v>
      </c>
      <c r="C2" s="561"/>
      <c r="D2" s="561"/>
      <c r="E2" s="561"/>
      <c r="F2" s="561"/>
      <c r="G2" s="561"/>
      <c r="H2" s="561"/>
      <c r="I2" s="561"/>
      <c r="J2" s="561"/>
      <c r="K2" s="561"/>
      <c r="L2" s="561"/>
      <c r="M2" s="561"/>
      <c r="N2" s="561"/>
      <c r="O2" s="561"/>
      <c r="P2" s="561"/>
      <c r="Q2" s="561"/>
      <c r="R2" s="561"/>
      <c r="S2" s="561"/>
      <c r="T2" s="561"/>
      <c r="U2" s="561"/>
    </row>
    <row r="3" spans="1:21" ht="15.75" customHeight="1">
      <c r="A3" s="140"/>
      <c r="B3" s="509" t="s">
        <v>286</v>
      </c>
      <c r="C3" s="509"/>
      <c r="D3" s="509"/>
      <c r="E3" s="509"/>
      <c r="F3" s="509"/>
      <c r="G3" s="509"/>
      <c r="H3" s="509"/>
      <c r="I3" s="509"/>
      <c r="J3" s="509"/>
      <c r="K3" s="509"/>
      <c r="L3" s="509"/>
      <c r="M3" s="509"/>
      <c r="N3" s="509"/>
      <c r="O3" s="509"/>
      <c r="P3" s="509"/>
      <c r="Q3" s="509"/>
      <c r="R3" s="509"/>
      <c r="S3" s="509"/>
      <c r="T3" s="509"/>
      <c r="U3" s="509"/>
    </row>
    <row r="4" spans="1:21" ht="15" customHeight="1">
      <c r="A4" s="479" t="s">
        <v>1749</v>
      </c>
      <c r="B4" s="564" t="s">
        <v>0</v>
      </c>
      <c r="C4" s="564"/>
      <c r="D4" s="630">
        <v>44651</v>
      </c>
      <c r="E4" s="630"/>
      <c r="F4" s="564" t="s">
        <v>1</v>
      </c>
      <c r="G4" s="564"/>
      <c r="H4" s="584"/>
      <c r="I4" s="584"/>
      <c r="J4" s="563" t="s">
        <v>2</v>
      </c>
      <c r="K4" s="563"/>
      <c r="L4" s="569" t="s">
        <v>1820</v>
      </c>
      <c r="M4" s="569"/>
      <c r="N4" s="570" t="s">
        <v>290</v>
      </c>
      <c r="O4" s="570"/>
      <c r="P4" s="612" t="s">
        <v>1870</v>
      </c>
      <c r="Q4" s="612"/>
      <c r="R4" s="563" t="s">
        <v>288</v>
      </c>
      <c r="S4" s="563"/>
      <c r="T4" s="627">
        <v>4</v>
      </c>
      <c r="U4" s="627"/>
    </row>
    <row r="5" spans="1:21" ht="15" customHeight="1">
      <c r="A5" s="479"/>
      <c r="B5" s="563" t="s">
        <v>3</v>
      </c>
      <c r="C5" s="563"/>
      <c r="D5" s="569" t="s">
        <v>1821</v>
      </c>
      <c r="E5" s="569"/>
      <c r="F5" s="563" t="s">
        <v>4</v>
      </c>
      <c r="G5" s="563"/>
      <c r="H5" s="582" t="s">
        <v>1821</v>
      </c>
      <c r="I5" s="582"/>
      <c r="J5" s="628" t="s">
        <v>1812</v>
      </c>
      <c r="K5" s="629"/>
      <c r="L5" s="569" t="s">
        <v>1822</v>
      </c>
      <c r="M5" s="569"/>
      <c r="N5" s="628" t="s">
        <v>1813</v>
      </c>
      <c r="O5" s="629"/>
      <c r="P5" s="562" t="s">
        <v>1864</v>
      </c>
      <c r="Q5" s="562"/>
      <c r="R5" s="563" t="s">
        <v>5</v>
      </c>
      <c r="S5" s="563"/>
      <c r="T5" s="511" t="s">
        <v>1823</v>
      </c>
      <c r="U5" s="511"/>
    </row>
    <row r="6" spans="1:21" ht="15" customHeight="1">
      <c r="A6" s="479"/>
      <c r="B6" s="563" t="s">
        <v>289</v>
      </c>
      <c r="C6" s="563"/>
      <c r="D6" s="569" t="s">
        <v>1846</v>
      </c>
      <c r="E6" s="569"/>
      <c r="F6" s="570" t="s">
        <v>294</v>
      </c>
      <c r="G6" s="570"/>
      <c r="H6" s="568" t="s">
        <v>1871</v>
      </c>
      <c r="I6" s="568"/>
      <c r="J6" s="568"/>
      <c r="K6" s="568"/>
      <c r="L6" s="568"/>
      <c r="M6" s="568"/>
      <c r="N6" s="570" t="s">
        <v>285</v>
      </c>
      <c r="O6" s="570"/>
      <c r="P6" s="584"/>
      <c r="Q6" s="584"/>
      <c r="R6" s="563" t="s">
        <v>6</v>
      </c>
      <c r="S6" s="563"/>
      <c r="T6" s="511"/>
      <c r="U6" s="511"/>
    </row>
    <row r="7" spans="1:21" ht="15" customHeight="1">
      <c r="A7" s="479"/>
      <c r="B7" s="563" t="s">
        <v>295</v>
      </c>
      <c r="C7" s="563"/>
      <c r="D7" s="566">
        <f>'List of Equipments'!E39/100000</f>
        <v>110</v>
      </c>
      <c r="E7" s="566"/>
      <c r="F7" s="570" t="s">
        <v>296</v>
      </c>
      <c r="G7" s="570"/>
      <c r="H7" s="571" t="s">
        <v>1482</v>
      </c>
      <c r="I7" s="572"/>
      <c r="J7" s="563" t="s">
        <v>297</v>
      </c>
      <c r="K7" s="563"/>
      <c r="L7" s="566">
        <f>'List of Equipments'!L33/100000</f>
        <v>0</v>
      </c>
      <c r="M7" s="566"/>
      <c r="N7" s="570" t="s">
        <v>1401</v>
      </c>
      <c r="O7" s="570"/>
      <c r="P7" s="573">
        <v>0.32</v>
      </c>
      <c r="Q7" s="573"/>
      <c r="R7" s="563" t="s">
        <v>1400</v>
      </c>
      <c r="S7" s="563"/>
      <c r="T7" s="573">
        <v>1.1299999999999999</v>
      </c>
      <c r="U7" s="573"/>
    </row>
    <row r="8" spans="1:21">
      <c r="A8" s="479"/>
      <c r="B8" s="563" t="s">
        <v>291</v>
      </c>
      <c r="C8" s="563"/>
      <c r="D8" s="586">
        <v>110</v>
      </c>
      <c r="E8" s="586"/>
      <c r="F8" s="563" t="s">
        <v>292</v>
      </c>
      <c r="G8" s="563"/>
      <c r="H8" s="571">
        <v>0</v>
      </c>
      <c r="I8" s="572"/>
      <c r="J8" s="563" t="s">
        <v>293</v>
      </c>
      <c r="K8" s="563"/>
      <c r="L8" s="567">
        <f>D8+H8+P7+T7</f>
        <v>111.44999999999999</v>
      </c>
      <c r="M8" s="567"/>
      <c r="N8" s="563" t="s">
        <v>304</v>
      </c>
      <c r="O8" s="563"/>
      <c r="P8" s="571">
        <v>0</v>
      </c>
      <c r="Q8" s="572"/>
      <c r="R8" s="563" t="s">
        <v>305</v>
      </c>
      <c r="S8" s="563"/>
      <c r="T8" s="567">
        <f>L8+P8</f>
        <v>111.44999999999999</v>
      </c>
      <c r="U8" s="567"/>
    </row>
    <row r="9" spans="1:21">
      <c r="A9" s="479"/>
      <c r="B9" s="563" t="s">
        <v>298</v>
      </c>
      <c r="C9" s="563"/>
      <c r="D9" s="587">
        <v>60</v>
      </c>
      <c r="E9" s="587"/>
      <c r="F9" s="563" t="s">
        <v>1402</v>
      </c>
      <c r="G9" s="563"/>
      <c r="H9" s="565">
        <v>0.14000000000000001</v>
      </c>
      <c r="I9" s="565"/>
      <c r="J9" s="563" t="s">
        <v>1459</v>
      </c>
      <c r="K9" s="563"/>
      <c r="L9" s="583">
        <f>IFERROR(-PMT(H9/12,D9,D8)*100000,0)</f>
        <v>255950.75934326465</v>
      </c>
      <c r="M9" s="583"/>
      <c r="N9" s="563" t="s">
        <v>1460</v>
      </c>
      <c r="O9" s="563"/>
      <c r="P9" s="571">
        <v>0</v>
      </c>
      <c r="Q9" s="572"/>
      <c r="R9" s="563" t="s">
        <v>306</v>
      </c>
      <c r="S9" s="563"/>
      <c r="T9" s="585">
        <f>L9+P9</f>
        <v>255950.75934326465</v>
      </c>
      <c r="U9" s="585"/>
    </row>
    <row r="10" spans="1:21">
      <c r="A10" s="479"/>
      <c r="B10" s="563" t="s">
        <v>302</v>
      </c>
      <c r="C10" s="563"/>
      <c r="D10" s="565">
        <v>0.01</v>
      </c>
      <c r="E10" s="565"/>
      <c r="F10" s="563" t="s">
        <v>303</v>
      </c>
      <c r="G10" s="563"/>
      <c r="H10" s="566">
        <f>(D8*D10)+18%*(D8*D10)</f>
        <v>1.298</v>
      </c>
      <c r="I10" s="566"/>
      <c r="J10" s="563" t="s">
        <v>299</v>
      </c>
      <c r="K10" s="563"/>
      <c r="L10" s="574" t="s">
        <v>1482</v>
      </c>
      <c r="M10" s="574"/>
      <c r="N10" s="563" t="s">
        <v>300</v>
      </c>
      <c r="O10" s="563"/>
      <c r="P10" s="575" t="s">
        <v>1482</v>
      </c>
      <c r="Q10" s="575"/>
      <c r="R10" s="563" t="s">
        <v>301</v>
      </c>
      <c r="S10" s="563"/>
      <c r="T10" s="573">
        <v>0</v>
      </c>
      <c r="U10" s="573"/>
    </row>
    <row r="11" spans="1:21">
      <c r="A11" s="480"/>
      <c r="B11" s="578" t="s">
        <v>1805</v>
      </c>
      <c r="C11" s="579"/>
      <c r="D11" s="631" t="s">
        <v>1824</v>
      </c>
      <c r="E11" s="632"/>
      <c r="F11" s="578" t="s">
        <v>1806</v>
      </c>
      <c r="G11" s="579"/>
      <c r="H11" s="633" t="str">
        <f>'List of Equipments'!C39</f>
        <v>Category A</v>
      </c>
      <c r="I11" s="634"/>
      <c r="J11" s="578" t="s">
        <v>1807</v>
      </c>
      <c r="K11" s="579"/>
      <c r="L11" s="635">
        <f>'List of Equipments'!D39</f>
        <v>1</v>
      </c>
      <c r="M11" s="636"/>
      <c r="N11" s="570" t="s">
        <v>1804</v>
      </c>
      <c r="O11" s="570"/>
      <c r="P11" s="576" t="s">
        <v>1835</v>
      </c>
      <c r="Q11" s="577"/>
      <c r="R11" s="578" t="s">
        <v>1808</v>
      </c>
      <c r="S11" s="579"/>
      <c r="T11" s="580">
        <v>1</v>
      </c>
      <c r="U11" s="581"/>
    </row>
    <row r="12" spans="1:21" ht="15.75" customHeight="1">
      <c r="A12" s="479"/>
      <c r="B12" s="564" t="s">
        <v>8</v>
      </c>
      <c r="C12" s="564"/>
      <c r="D12" s="568" t="s">
        <v>1871</v>
      </c>
      <c r="E12" s="568"/>
      <c r="F12" s="568"/>
      <c r="G12" s="568"/>
      <c r="H12" s="568"/>
      <c r="I12" s="568"/>
      <c r="J12" s="563" t="s">
        <v>7</v>
      </c>
      <c r="K12" s="563"/>
      <c r="L12" s="542" t="s">
        <v>9</v>
      </c>
      <c r="M12" s="542"/>
      <c r="N12" s="570" t="s">
        <v>10</v>
      </c>
      <c r="O12" s="570"/>
      <c r="P12" s="542" t="s">
        <v>1854</v>
      </c>
      <c r="Q12" s="542"/>
      <c r="R12" s="563" t="s">
        <v>1672</v>
      </c>
      <c r="S12" s="563"/>
      <c r="T12" s="573">
        <f>D8*10%</f>
        <v>11</v>
      </c>
      <c r="U12" s="573"/>
    </row>
    <row r="13" spans="1:21" ht="15" customHeight="1">
      <c r="A13" s="479"/>
      <c r="B13" s="617" t="s">
        <v>15</v>
      </c>
      <c r="C13" s="618"/>
      <c r="D13" s="621" t="s">
        <v>1872</v>
      </c>
      <c r="E13" s="622"/>
      <c r="F13" s="622"/>
      <c r="G13" s="622"/>
      <c r="H13" s="622"/>
      <c r="I13" s="623"/>
      <c r="J13" s="563" t="s">
        <v>12</v>
      </c>
      <c r="K13" s="563"/>
      <c r="L13" s="505" t="s">
        <v>778</v>
      </c>
      <c r="M13" s="505"/>
      <c r="N13" s="563" t="s">
        <v>13</v>
      </c>
      <c r="O13" s="563"/>
      <c r="P13" s="505" t="s">
        <v>1870</v>
      </c>
      <c r="Q13" s="505"/>
      <c r="R13" s="563" t="s">
        <v>17</v>
      </c>
      <c r="S13" s="563"/>
      <c r="T13" s="501">
        <v>9910225699</v>
      </c>
      <c r="U13" s="501"/>
    </row>
    <row r="14" spans="1:21">
      <c r="A14" s="479"/>
      <c r="B14" s="619"/>
      <c r="C14" s="620"/>
      <c r="D14" s="624"/>
      <c r="E14" s="625"/>
      <c r="F14" s="625"/>
      <c r="G14" s="625"/>
      <c r="H14" s="625"/>
      <c r="I14" s="626"/>
      <c r="J14" s="564" t="s">
        <v>14</v>
      </c>
      <c r="K14" s="564"/>
      <c r="L14" s="542" t="s">
        <v>1855</v>
      </c>
      <c r="M14" s="542"/>
      <c r="N14" s="563" t="s">
        <v>11</v>
      </c>
      <c r="O14" s="563"/>
      <c r="P14" s="505" t="s">
        <v>1870</v>
      </c>
      <c r="Q14" s="505"/>
      <c r="R14" s="563" t="s">
        <v>307</v>
      </c>
      <c r="S14" s="563"/>
      <c r="T14" s="505">
        <v>122002</v>
      </c>
      <c r="U14" s="505"/>
    </row>
    <row r="15" spans="1:21" ht="15" customHeight="1">
      <c r="A15" s="479"/>
      <c r="B15" s="616" t="s">
        <v>1673</v>
      </c>
      <c r="C15" s="616"/>
      <c r="D15" s="539" t="s">
        <v>1874</v>
      </c>
      <c r="E15" s="541"/>
      <c r="F15" s="616" t="s">
        <v>1674</v>
      </c>
      <c r="G15" s="616"/>
      <c r="H15" s="539"/>
      <c r="I15" s="541"/>
      <c r="J15" s="563" t="s">
        <v>16</v>
      </c>
      <c r="K15" s="563"/>
      <c r="L15" s="505" t="s">
        <v>1873</v>
      </c>
      <c r="M15" s="505"/>
      <c r="N15" s="563" t="s">
        <v>1671</v>
      </c>
      <c r="O15" s="563"/>
      <c r="P15" s="501">
        <v>9910225699</v>
      </c>
      <c r="Q15" s="501"/>
      <c r="R15" s="547" t="s">
        <v>1803</v>
      </c>
      <c r="S15" s="547"/>
      <c r="T15" s="615" t="s">
        <v>560</v>
      </c>
      <c r="U15" s="615"/>
    </row>
    <row r="16" spans="1:21" ht="15.75">
      <c r="A16" s="479" t="s">
        <v>1749</v>
      </c>
      <c r="B16" s="509" t="s">
        <v>313</v>
      </c>
      <c r="C16" s="509"/>
      <c r="D16" s="509"/>
      <c r="E16" s="509"/>
      <c r="F16" s="509"/>
      <c r="G16" s="509"/>
      <c r="H16" s="509"/>
      <c r="I16" s="509"/>
      <c r="J16" s="509"/>
      <c r="K16" s="509"/>
      <c r="L16" s="509"/>
      <c r="M16" s="509"/>
      <c r="N16" s="509"/>
      <c r="O16" s="509"/>
      <c r="P16" s="509"/>
      <c r="Q16" s="509"/>
      <c r="R16" s="509"/>
      <c r="S16" s="509"/>
      <c r="T16" s="509"/>
      <c r="U16" s="509"/>
    </row>
    <row r="17" spans="1:22" s="131" customFormat="1" ht="45" customHeight="1">
      <c r="A17" s="479"/>
      <c r="B17" s="588" t="s">
        <v>314</v>
      </c>
      <c r="C17" s="588"/>
      <c r="D17" s="589" t="s">
        <v>315</v>
      </c>
      <c r="E17" s="589"/>
      <c r="F17" s="589"/>
      <c r="G17" s="589"/>
      <c r="H17" s="589" t="s">
        <v>316</v>
      </c>
      <c r="I17" s="589"/>
      <c r="J17" s="81" t="s">
        <v>354</v>
      </c>
      <c r="K17" s="81" t="s">
        <v>348</v>
      </c>
      <c r="L17" s="81" t="s">
        <v>349</v>
      </c>
      <c r="M17" s="122" t="s">
        <v>355</v>
      </c>
      <c r="N17" s="122" t="s">
        <v>351</v>
      </c>
      <c r="O17" s="122" t="s">
        <v>1665</v>
      </c>
      <c r="P17" s="122" t="s">
        <v>352</v>
      </c>
      <c r="Q17" s="122" t="s">
        <v>1666</v>
      </c>
      <c r="R17" s="122" t="s">
        <v>1675</v>
      </c>
      <c r="S17" s="122" t="s">
        <v>1667</v>
      </c>
      <c r="T17" s="122" t="s">
        <v>1676</v>
      </c>
      <c r="U17" s="122" t="s">
        <v>1668</v>
      </c>
      <c r="V17" s="141"/>
    </row>
    <row r="18" spans="1:22" ht="32.25" customHeight="1">
      <c r="A18" s="479"/>
      <c r="B18" s="590"/>
      <c r="C18" s="590"/>
      <c r="D18" s="595"/>
      <c r="E18" s="596"/>
      <c r="F18" s="596"/>
      <c r="G18" s="597"/>
      <c r="H18" s="593"/>
      <c r="I18" s="593"/>
      <c r="J18" s="329"/>
      <c r="K18" s="460"/>
      <c r="L18" s="393"/>
      <c r="M18" s="138">
        <f>IF(L18="",0,F30 &amp; " / " &amp; G30)</f>
        <v>0</v>
      </c>
      <c r="N18" s="332"/>
      <c r="O18" s="333"/>
      <c r="P18" s="332"/>
      <c r="Q18" s="333"/>
      <c r="R18" s="332"/>
      <c r="S18" s="333"/>
      <c r="T18" s="332"/>
      <c r="U18" s="333"/>
    </row>
    <row r="19" spans="1:22" ht="15" customHeight="1">
      <c r="A19" s="479"/>
      <c r="B19" s="590" t="s">
        <v>1756</v>
      </c>
      <c r="C19" s="590"/>
      <c r="D19" s="595" t="s">
        <v>1871</v>
      </c>
      <c r="E19" s="596"/>
      <c r="F19" s="596"/>
      <c r="G19" s="597"/>
      <c r="H19" s="593" t="s">
        <v>341</v>
      </c>
      <c r="I19" s="593"/>
      <c r="J19" s="329">
        <v>1</v>
      </c>
      <c r="K19" s="461">
        <v>0</v>
      </c>
      <c r="L19" s="393">
        <v>44483</v>
      </c>
      <c r="M19" s="138" t="str">
        <f t="shared" ref="M19:M27" si="0">IF(L19="",0,F31 &amp; " / " &amp; G31)</f>
        <v>0 / 5</v>
      </c>
      <c r="N19" s="332"/>
      <c r="O19" s="333"/>
      <c r="P19" s="332"/>
      <c r="Q19" s="333"/>
      <c r="R19" s="332"/>
      <c r="S19" s="333"/>
      <c r="T19" s="332"/>
      <c r="U19" s="333"/>
    </row>
    <row r="20" spans="1:22" ht="15" customHeight="1">
      <c r="A20" s="479"/>
      <c r="B20" s="590" t="s">
        <v>1845</v>
      </c>
      <c r="C20" s="590"/>
      <c r="D20" s="595" t="s">
        <v>1873</v>
      </c>
      <c r="E20" s="596"/>
      <c r="F20" s="596"/>
      <c r="G20" s="597"/>
      <c r="H20" s="593" t="s">
        <v>337</v>
      </c>
      <c r="I20" s="593"/>
      <c r="J20" s="329">
        <v>0.28000000000000003</v>
      </c>
      <c r="K20" s="445">
        <v>0</v>
      </c>
      <c r="L20" s="331">
        <v>28613</v>
      </c>
      <c r="M20" s="138" t="str">
        <f t="shared" si="0"/>
        <v>43 / 48</v>
      </c>
      <c r="N20" s="332"/>
      <c r="O20" s="333"/>
      <c r="P20" s="332"/>
      <c r="Q20" s="333"/>
      <c r="R20" s="332"/>
      <c r="S20" s="333"/>
      <c r="T20" s="332"/>
      <c r="U20" s="333"/>
    </row>
    <row r="21" spans="1:22">
      <c r="A21" s="479"/>
      <c r="B21" s="590" t="s">
        <v>1845</v>
      </c>
      <c r="C21" s="590"/>
      <c r="D21" s="595" t="s">
        <v>1877</v>
      </c>
      <c r="E21" s="596"/>
      <c r="F21" s="596"/>
      <c r="G21" s="597"/>
      <c r="H21" s="593" t="s">
        <v>337</v>
      </c>
      <c r="I21" s="593"/>
      <c r="J21" s="329">
        <v>0.24</v>
      </c>
      <c r="K21" s="441"/>
      <c r="L21" s="331">
        <v>29122</v>
      </c>
      <c r="M21" s="138" t="str">
        <f t="shared" si="0"/>
        <v>42 / 47</v>
      </c>
      <c r="N21" s="332"/>
      <c r="O21" s="333"/>
      <c r="P21" s="332"/>
      <c r="Q21" s="333"/>
      <c r="R21" s="332"/>
      <c r="S21" s="333"/>
      <c r="T21" s="332"/>
      <c r="U21" s="333"/>
    </row>
    <row r="22" spans="1:22">
      <c r="A22" s="479"/>
      <c r="B22" s="590" t="s">
        <v>1845</v>
      </c>
      <c r="C22" s="590"/>
      <c r="D22" s="594" t="s">
        <v>1882</v>
      </c>
      <c r="E22" s="594"/>
      <c r="F22" s="594"/>
      <c r="G22" s="594"/>
      <c r="H22" s="593" t="s">
        <v>337</v>
      </c>
      <c r="I22" s="593"/>
      <c r="J22" s="329">
        <v>0.18</v>
      </c>
      <c r="K22" s="441"/>
      <c r="L22" s="331">
        <v>28633</v>
      </c>
      <c r="M22" s="138" t="str">
        <f t="shared" si="0"/>
        <v>43 / 48</v>
      </c>
      <c r="N22" s="236"/>
      <c r="O22" s="237"/>
      <c r="P22" s="236"/>
      <c r="Q22" s="237"/>
      <c r="R22" s="236"/>
      <c r="S22" s="237"/>
      <c r="T22" s="236"/>
      <c r="U22" s="237"/>
    </row>
    <row r="23" spans="1:22">
      <c r="A23" s="479"/>
      <c r="B23" s="590" t="s">
        <v>1845</v>
      </c>
      <c r="C23" s="590"/>
      <c r="D23" s="594" t="s">
        <v>1886</v>
      </c>
      <c r="E23" s="594"/>
      <c r="F23" s="594"/>
      <c r="G23" s="594"/>
      <c r="H23" s="593" t="s">
        <v>337</v>
      </c>
      <c r="I23" s="593"/>
      <c r="J23" s="132">
        <v>0.06</v>
      </c>
      <c r="K23" s="135"/>
      <c r="L23" s="331">
        <v>29960</v>
      </c>
      <c r="M23" s="138" t="str">
        <f t="shared" si="0"/>
        <v>40 / 45</v>
      </c>
      <c r="N23" s="236"/>
      <c r="O23" s="237"/>
      <c r="P23" s="236"/>
      <c r="Q23" s="237"/>
      <c r="R23" s="236"/>
      <c r="S23" s="237"/>
      <c r="T23" s="236"/>
      <c r="U23" s="237"/>
    </row>
    <row r="24" spans="1:22">
      <c r="A24" s="479"/>
      <c r="B24" s="590" t="s">
        <v>1845</v>
      </c>
      <c r="C24" s="590"/>
      <c r="D24" s="594" t="s">
        <v>1890</v>
      </c>
      <c r="E24" s="594"/>
      <c r="F24" s="594"/>
      <c r="G24" s="594"/>
      <c r="H24" s="593" t="s">
        <v>337</v>
      </c>
      <c r="I24" s="593"/>
      <c r="J24" s="132">
        <v>0.24</v>
      </c>
      <c r="K24" s="135"/>
      <c r="L24" s="331">
        <v>27733</v>
      </c>
      <c r="M24" s="138" t="str">
        <f t="shared" si="0"/>
        <v>46 / 51</v>
      </c>
      <c r="N24" s="236"/>
      <c r="O24" s="237"/>
      <c r="P24" s="236"/>
      <c r="Q24" s="237"/>
      <c r="R24" s="236"/>
      <c r="S24" s="237"/>
      <c r="T24" s="236"/>
      <c r="U24" s="237"/>
    </row>
    <row r="25" spans="1:22">
      <c r="A25" s="479"/>
      <c r="B25" s="591"/>
      <c r="C25" s="591"/>
      <c r="D25" s="594"/>
      <c r="E25" s="594"/>
      <c r="F25" s="594"/>
      <c r="G25" s="594"/>
      <c r="H25" s="606"/>
      <c r="I25" s="606"/>
      <c r="J25" s="132"/>
      <c r="K25" s="135"/>
      <c r="L25" s="133"/>
      <c r="M25" s="138">
        <f t="shared" si="0"/>
        <v>0</v>
      </c>
      <c r="N25" s="236"/>
      <c r="O25" s="237"/>
      <c r="P25" s="236"/>
      <c r="Q25" s="237"/>
      <c r="R25" s="236"/>
      <c r="S25" s="237"/>
      <c r="T25" s="236"/>
      <c r="U25" s="237"/>
    </row>
    <row r="26" spans="1:22">
      <c r="A26" s="479"/>
      <c r="B26" s="591"/>
      <c r="C26" s="591"/>
      <c r="D26" s="594"/>
      <c r="E26" s="594"/>
      <c r="F26" s="594"/>
      <c r="G26" s="594"/>
      <c r="H26" s="606"/>
      <c r="I26" s="606"/>
      <c r="J26" s="132"/>
      <c r="K26" s="135"/>
      <c r="L26" s="133"/>
      <c r="M26" s="138">
        <f t="shared" si="0"/>
        <v>0</v>
      </c>
      <c r="N26" s="236"/>
      <c r="O26" s="237"/>
      <c r="P26" s="236"/>
      <c r="Q26" s="237"/>
      <c r="R26" s="236"/>
      <c r="S26" s="237"/>
      <c r="T26" s="236"/>
      <c r="U26" s="237"/>
    </row>
    <row r="27" spans="1:22">
      <c r="A27" s="479"/>
      <c r="B27" s="591"/>
      <c r="C27" s="591"/>
      <c r="D27" s="594"/>
      <c r="E27" s="594"/>
      <c r="F27" s="594"/>
      <c r="G27" s="594"/>
      <c r="H27" s="606"/>
      <c r="I27" s="606"/>
      <c r="J27" s="132"/>
      <c r="K27" s="135"/>
      <c r="L27" s="133"/>
      <c r="M27" s="138">
        <f t="shared" si="0"/>
        <v>0</v>
      </c>
      <c r="N27" s="236"/>
      <c r="O27" s="237"/>
      <c r="P27" s="236"/>
      <c r="Q27" s="237"/>
      <c r="R27" s="236"/>
      <c r="S27" s="237"/>
      <c r="T27" s="236"/>
      <c r="U27" s="237"/>
    </row>
    <row r="28" spans="1:22" ht="15.75">
      <c r="A28" s="479" t="s">
        <v>1749</v>
      </c>
      <c r="B28" s="509" t="s">
        <v>356</v>
      </c>
      <c r="C28" s="509"/>
      <c r="D28" s="509"/>
      <c r="E28" s="509"/>
      <c r="F28" s="509"/>
      <c r="G28" s="509"/>
      <c r="H28" s="509"/>
      <c r="I28" s="509"/>
      <c r="J28" s="509"/>
      <c r="K28" s="509"/>
      <c r="L28" s="509"/>
      <c r="M28" s="509"/>
      <c r="N28" s="509"/>
      <c r="O28" s="509"/>
      <c r="P28" s="509"/>
      <c r="Q28" s="509"/>
      <c r="R28" s="509"/>
      <c r="S28" s="509"/>
      <c r="T28" s="509"/>
      <c r="U28" s="509"/>
    </row>
    <row r="29" spans="1:22" ht="30" customHeight="1">
      <c r="A29" s="479"/>
      <c r="B29" s="589" t="s">
        <v>357</v>
      </c>
      <c r="C29" s="589"/>
      <c r="D29" s="589"/>
      <c r="E29" s="81" t="s">
        <v>349</v>
      </c>
      <c r="F29" s="122" t="s">
        <v>350</v>
      </c>
      <c r="G29" s="122" t="s">
        <v>350</v>
      </c>
      <c r="H29" s="122" t="s">
        <v>358</v>
      </c>
      <c r="I29" s="589" t="s">
        <v>359</v>
      </c>
      <c r="J29" s="589"/>
      <c r="K29" s="122" t="s">
        <v>360</v>
      </c>
      <c r="L29" s="122" t="s">
        <v>361</v>
      </c>
      <c r="M29" s="589" t="s">
        <v>362</v>
      </c>
      <c r="N29" s="589"/>
      <c r="O29" s="589"/>
      <c r="P29" s="589"/>
      <c r="Q29" s="357" t="s">
        <v>365</v>
      </c>
      <c r="R29" s="357" t="s">
        <v>363</v>
      </c>
      <c r="S29" s="357" t="s">
        <v>364</v>
      </c>
      <c r="T29" s="122" t="s">
        <v>1816</v>
      </c>
      <c r="U29" s="122" t="s">
        <v>1817</v>
      </c>
    </row>
    <row r="30" spans="1:22" ht="29.25" customHeight="1">
      <c r="A30" s="479"/>
      <c r="B30" s="592" t="str">
        <f>IF(D18="","",D18)</f>
        <v/>
      </c>
      <c r="C30" s="592"/>
      <c r="D30" s="592"/>
      <c r="E30" s="139" t="str">
        <f>IF(L18="","",L18)</f>
        <v/>
      </c>
      <c r="F30" s="138">
        <f>IFERROR(IF(L18="",0,DATEDIF(L18,$D$4,"Y")),)</f>
        <v>0</v>
      </c>
      <c r="G30" s="138">
        <f>IF(L18="",0,IFERROR(IF(F30="",0,F30+($D$9)/12),0))</f>
        <v>0</v>
      </c>
      <c r="H30" s="392"/>
      <c r="I30" s="637"/>
      <c r="J30" s="637"/>
      <c r="K30" s="138" t="s">
        <v>1482</v>
      </c>
      <c r="L30" s="330"/>
      <c r="M30" s="505"/>
      <c r="N30" s="505"/>
      <c r="O30" s="505"/>
      <c r="P30" s="505"/>
      <c r="Q30" s="334"/>
      <c r="R30" s="335"/>
      <c r="S30" s="304"/>
      <c r="T30" s="362"/>
      <c r="U30" s="363"/>
    </row>
    <row r="31" spans="1:22" ht="15" customHeight="1">
      <c r="A31" s="479"/>
      <c r="B31" s="592" t="str">
        <f t="shared" ref="B31:B39" si="1">IF(D19="","",D19)</f>
        <v>Atrium Newgen Diagnostics</v>
      </c>
      <c r="C31" s="592"/>
      <c r="D31" s="592"/>
      <c r="E31" s="139">
        <f t="shared" ref="E31:E39" si="2">IF(L19="","",L19)</f>
        <v>44483</v>
      </c>
      <c r="F31" s="138">
        <f t="shared" ref="F31:F39" si="3">IFERROR(IF(L19="",0,DATEDIF(L19,$D$4,"Y")),)</f>
        <v>0</v>
      </c>
      <c r="G31" s="138">
        <f t="shared" ref="G31:G39" si="4">IF(L19="",0,IFERROR(IF(F31="",0,F31+($D$9)/12),0))</f>
        <v>5</v>
      </c>
      <c r="H31" s="444" t="s">
        <v>1856</v>
      </c>
      <c r="I31" s="637" t="s">
        <v>1857</v>
      </c>
      <c r="J31" s="637"/>
      <c r="K31" s="462" t="s">
        <v>80</v>
      </c>
      <c r="L31" s="445">
        <v>17</v>
      </c>
      <c r="M31" s="505" t="s">
        <v>1872</v>
      </c>
      <c r="N31" s="505"/>
      <c r="O31" s="505"/>
      <c r="P31" s="505"/>
      <c r="Q31" s="334">
        <v>122002</v>
      </c>
      <c r="R31" s="446" t="s">
        <v>1855</v>
      </c>
      <c r="S31" s="304" t="s">
        <v>1866</v>
      </c>
      <c r="T31" s="362"/>
      <c r="U31" s="363"/>
    </row>
    <row r="32" spans="1:22">
      <c r="A32" s="479"/>
      <c r="B32" s="592" t="str">
        <f t="shared" si="1"/>
        <v>Sandeep Shekhawat</v>
      </c>
      <c r="C32" s="592"/>
      <c r="D32" s="592"/>
      <c r="E32" s="139">
        <f t="shared" si="2"/>
        <v>28613</v>
      </c>
      <c r="F32" s="138">
        <f t="shared" si="3"/>
        <v>43</v>
      </c>
      <c r="G32" s="138">
        <f t="shared" si="4"/>
        <v>48</v>
      </c>
      <c r="H32" s="444" t="s">
        <v>1875</v>
      </c>
      <c r="I32" s="637" t="s">
        <v>1876</v>
      </c>
      <c r="J32" s="637"/>
      <c r="K32" s="304" t="s">
        <v>80</v>
      </c>
      <c r="L32" s="445">
        <v>0</v>
      </c>
      <c r="M32" s="505" t="s">
        <v>1879</v>
      </c>
      <c r="N32" s="505"/>
      <c r="O32" s="505"/>
      <c r="P32" s="505"/>
      <c r="Q32" s="334">
        <v>122002</v>
      </c>
      <c r="R32" s="446" t="s">
        <v>1855</v>
      </c>
      <c r="S32" s="304" t="s">
        <v>1866</v>
      </c>
      <c r="T32" s="362"/>
      <c r="U32" s="363"/>
    </row>
    <row r="33" spans="1:21">
      <c r="A33" s="479"/>
      <c r="B33" s="592" t="str">
        <f t="shared" si="1"/>
        <v>Neeraj Bhandari</v>
      </c>
      <c r="C33" s="592"/>
      <c r="D33" s="592"/>
      <c r="E33" s="139">
        <f t="shared" si="2"/>
        <v>29122</v>
      </c>
      <c r="F33" s="138">
        <f t="shared" si="3"/>
        <v>42</v>
      </c>
      <c r="G33" s="138">
        <f t="shared" si="4"/>
        <v>47</v>
      </c>
      <c r="H33" s="392" t="s">
        <v>1878</v>
      </c>
      <c r="I33" s="638" t="s">
        <v>1880</v>
      </c>
      <c r="J33" s="639"/>
      <c r="K33" s="304" t="s">
        <v>80</v>
      </c>
      <c r="L33" s="441">
        <v>0</v>
      </c>
      <c r="M33" s="599" t="s">
        <v>1881</v>
      </c>
      <c r="N33" s="505"/>
      <c r="O33" s="505"/>
      <c r="P33" s="505"/>
      <c r="Q33" s="334">
        <v>302021</v>
      </c>
      <c r="R33" s="442" t="s">
        <v>1825</v>
      </c>
      <c r="S33" s="304" t="s">
        <v>1866</v>
      </c>
      <c r="T33" s="362"/>
      <c r="U33" s="363"/>
    </row>
    <row r="34" spans="1:21">
      <c r="A34" s="479"/>
      <c r="B34" s="592" t="str">
        <f t="shared" si="1"/>
        <v>Dr. Nidhi Goyal</v>
      </c>
      <c r="C34" s="592"/>
      <c r="D34" s="592"/>
      <c r="E34" s="139">
        <f t="shared" si="2"/>
        <v>28633</v>
      </c>
      <c r="F34" s="138">
        <f t="shared" si="3"/>
        <v>43</v>
      </c>
      <c r="G34" s="138">
        <f t="shared" si="4"/>
        <v>48</v>
      </c>
      <c r="H34" s="134" t="s">
        <v>1883</v>
      </c>
      <c r="I34" s="598" t="s">
        <v>1884</v>
      </c>
      <c r="J34" s="598"/>
      <c r="K34" s="304" t="s">
        <v>1865</v>
      </c>
      <c r="L34" s="441">
        <v>14</v>
      </c>
      <c r="M34" s="599" t="s">
        <v>1885</v>
      </c>
      <c r="N34" s="505"/>
      <c r="O34" s="505"/>
      <c r="P34" s="505"/>
      <c r="Q34" s="334">
        <v>202305</v>
      </c>
      <c r="R34" s="472" t="s">
        <v>1825</v>
      </c>
      <c r="S34" s="304" t="s">
        <v>1866</v>
      </c>
      <c r="T34" s="364"/>
      <c r="U34" s="364"/>
    </row>
    <row r="35" spans="1:21">
      <c r="A35" s="479"/>
      <c r="B35" s="592" t="str">
        <f t="shared" si="1"/>
        <v>Dr. Saurabh Singh Gehlot</v>
      </c>
      <c r="C35" s="592"/>
      <c r="D35" s="592"/>
      <c r="E35" s="139">
        <f t="shared" si="2"/>
        <v>29960</v>
      </c>
      <c r="F35" s="138">
        <f t="shared" si="3"/>
        <v>40</v>
      </c>
      <c r="G35" s="138">
        <f t="shared" si="4"/>
        <v>45</v>
      </c>
      <c r="H35" s="134" t="s">
        <v>1887</v>
      </c>
      <c r="I35" s="598" t="s">
        <v>1888</v>
      </c>
      <c r="J35" s="598"/>
      <c r="K35" s="304" t="s">
        <v>1865</v>
      </c>
      <c r="L35" s="135">
        <v>10</v>
      </c>
      <c r="M35" s="499" t="s">
        <v>1889</v>
      </c>
      <c r="N35" s="499"/>
      <c r="O35" s="499"/>
      <c r="P35" s="499"/>
      <c r="Q35" s="136">
        <v>122002</v>
      </c>
      <c r="R35" s="472" t="s">
        <v>1855</v>
      </c>
      <c r="S35" s="137" t="s">
        <v>1866</v>
      </c>
      <c r="T35" s="364"/>
      <c r="U35" s="364"/>
    </row>
    <row r="36" spans="1:21">
      <c r="A36" s="479"/>
      <c r="B36" s="592" t="str">
        <f t="shared" si="1"/>
        <v>Atul Kumar Agarwal</v>
      </c>
      <c r="C36" s="592"/>
      <c r="D36" s="592"/>
      <c r="E36" s="139">
        <f t="shared" si="2"/>
        <v>27733</v>
      </c>
      <c r="F36" s="138">
        <f t="shared" si="3"/>
        <v>46</v>
      </c>
      <c r="G36" s="138">
        <f t="shared" si="4"/>
        <v>51</v>
      </c>
      <c r="H36" s="134" t="s">
        <v>1891</v>
      </c>
      <c r="I36" s="598" t="s">
        <v>1892</v>
      </c>
      <c r="J36" s="598"/>
      <c r="K36" s="304" t="s">
        <v>80</v>
      </c>
      <c r="L36" s="135">
        <v>0</v>
      </c>
      <c r="M36" s="499" t="s">
        <v>1893</v>
      </c>
      <c r="N36" s="499"/>
      <c r="O36" s="499"/>
      <c r="P36" s="499"/>
      <c r="Q36" s="136">
        <v>302019</v>
      </c>
      <c r="R36" s="472" t="s">
        <v>1855</v>
      </c>
      <c r="S36" s="137" t="s">
        <v>1866</v>
      </c>
      <c r="T36" s="364"/>
      <c r="U36" s="364"/>
    </row>
    <row r="37" spans="1:21">
      <c r="A37" s="479"/>
      <c r="B37" s="592" t="str">
        <f t="shared" si="1"/>
        <v/>
      </c>
      <c r="C37" s="592"/>
      <c r="D37" s="592"/>
      <c r="E37" s="139" t="str">
        <f t="shared" si="2"/>
        <v/>
      </c>
      <c r="F37" s="138">
        <f t="shared" si="3"/>
        <v>0</v>
      </c>
      <c r="G37" s="138">
        <f t="shared" si="4"/>
        <v>0</v>
      </c>
      <c r="H37" s="134"/>
      <c r="I37" s="598"/>
      <c r="J37" s="598"/>
      <c r="K37" s="136"/>
      <c r="L37" s="135"/>
      <c r="M37" s="499"/>
      <c r="N37" s="499"/>
      <c r="O37" s="499"/>
      <c r="P37" s="499"/>
      <c r="Q37" s="136"/>
      <c r="R37" s="137"/>
      <c r="S37" s="137"/>
      <c r="T37" s="364"/>
      <c r="U37" s="364"/>
    </row>
    <row r="38" spans="1:21">
      <c r="A38" s="479"/>
      <c r="B38" s="592" t="str">
        <f t="shared" si="1"/>
        <v/>
      </c>
      <c r="C38" s="592"/>
      <c r="D38" s="592"/>
      <c r="E38" s="139" t="str">
        <f t="shared" si="2"/>
        <v/>
      </c>
      <c r="F38" s="138">
        <f t="shared" si="3"/>
        <v>0</v>
      </c>
      <c r="G38" s="138">
        <f t="shared" si="4"/>
        <v>0</v>
      </c>
      <c r="H38" s="134"/>
      <c r="I38" s="598"/>
      <c r="J38" s="598"/>
      <c r="K38" s="136"/>
      <c r="L38" s="135"/>
      <c r="M38" s="499"/>
      <c r="N38" s="499"/>
      <c r="O38" s="499"/>
      <c r="P38" s="499"/>
      <c r="Q38" s="136"/>
      <c r="R38" s="137"/>
      <c r="S38" s="137"/>
      <c r="T38" s="364"/>
      <c r="U38" s="364"/>
    </row>
    <row r="39" spans="1:21">
      <c r="A39" s="479"/>
      <c r="B39" s="592" t="str">
        <f t="shared" si="1"/>
        <v/>
      </c>
      <c r="C39" s="592"/>
      <c r="D39" s="592"/>
      <c r="E39" s="139" t="str">
        <f t="shared" si="2"/>
        <v/>
      </c>
      <c r="F39" s="138">
        <f t="shared" si="3"/>
        <v>0</v>
      </c>
      <c r="G39" s="138">
        <f t="shared" si="4"/>
        <v>0</v>
      </c>
      <c r="H39" s="134"/>
      <c r="I39" s="598"/>
      <c r="J39" s="598"/>
      <c r="K39" s="136"/>
      <c r="L39" s="135"/>
      <c r="M39" s="499"/>
      <c r="N39" s="499"/>
      <c r="O39" s="499"/>
      <c r="P39" s="499"/>
      <c r="Q39" s="136"/>
      <c r="R39" s="137"/>
      <c r="S39" s="137"/>
      <c r="T39" s="364"/>
      <c r="U39" s="364"/>
    </row>
    <row r="40" spans="1:21" ht="15.75" customHeight="1">
      <c r="A40" s="481" t="s">
        <v>1750</v>
      </c>
      <c r="B40" s="509" t="s">
        <v>353</v>
      </c>
      <c r="C40" s="509"/>
      <c r="D40" s="509"/>
      <c r="E40" s="509"/>
      <c r="F40" s="509"/>
      <c r="G40" s="509"/>
      <c r="H40" s="509"/>
      <c r="I40" s="509"/>
      <c r="J40" s="509"/>
      <c r="K40" s="509"/>
      <c r="L40" s="509"/>
      <c r="M40" s="509"/>
      <c r="N40" s="509"/>
      <c r="O40" s="509"/>
      <c r="P40" s="509"/>
      <c r="Q40" s="509"/>
      <c r="R40" s="509"/>
      <c r="S40" s="509"/>
      <c r="T40" s="509"/>
      <c r="U40" s="509"/>
    </row>
    <row r="41" spans="1:21">
      <c r="A41" s="481"/>
      <c r="B41" s="533" t="s">
        <v>486</v>
      </c>
      <c r="C41" s="533"/>
      <c r="D41" s="533"/>
      <c r="E41" s="542" t="s">
        <v>467</v>
      </c>
      <c r="F41" s="542"/>
      <c r="G41" s="542"/>
      <c r="H41" s="542"/>
      <c r="I41" s="533" t="s">
        <v>487</v>
      </c>
      <c r="J41" s="533"/>
      <c r="K41" s="533"/>
      <c r="L41" s="545">
        <f>IFERROR(VLOOKUP(E41,Workings!A38:B57,2,FALSE),)</f>
        <v>8000</v>
      </c>
      <c r="M41" s="545"/>
      <c r="N41" s="533" t="s">
        <v>492</v>
      </c>
      <c r="O41" s="533"/>
      <c r="P41" s="543" t="s">
        <v>496</v>
      </c>
      <c r="Q41" s="543"/>
      <c r="R41" s="529" t="s">
        <v>289</v>
      </c>
      <c r="S41" s="530"/>
      <c r="T41" s="531" t="s">
        <v>9</v>
      </c>
      <c r="U41" s="532"/>
    </row>
    <row r="42" spans="1:21">
      <c r="A42" s="481"/>
      <c r="B42" s="533" t="s">
        <v>1669</v>
      </c>
      <c r="C42" s="533"/>
      <c r="D42" s="533"/>
      <c r="E42" s="542" t="s">
        <v>1828</v>
      </c>
      <c r="F42" s="542"/>
      <c r="G42" s="542"/>
      <c r="H42" s="542"/>
      <c r="I42" s="533" t="s">
        <v>308</v>
      </c>
      <c r="J42" s="533"/>
      <c r="K42" s="533"/>
      <c r="L42" s="543" t="s">
        <v>560</v>
      </c>
      <c r="M42" s="543"/>
      <c r="N42" s="533" t="s">
        <v>494</v>
      </c>
      <c r="O42" s="533"/>
      <c r="P42" s="545" t="str">
        <f>IFERROR(INDEX(Workings!E63:E65,MATCH(CAM!P41&amp;CAM!T41,Workings!D63:D65,0)),)</f>
        <v>OR15</v>
      </c>
      <c r="Q42" s="545"/>
      <c r="R42" s="529" t="s">
        <v>561</v>
      </c>
      <c r="S42" s="530"/>
      <c r="T42" s="531" t="s">
        <v>564</v>
      </c>
      <c r="U42" s="532"/>
    </row>
    <row r="43" spans="1:21">
      <c r="A43" s="481"/>
      <c r="B43" s="533" t="s">
        <v>559</v>
      </c>
      <c r="C43" s="533"/>
      <c r="D43" s="533"/>
      <c r="E43" s="544" t="str">
        <f>'List of Equipments'!C39</f>
        <v>Category A</v>
      </c>
      <c r="F43" s="534"/>
      <c r="G43" s="534"/>
      <c r="H43" s="534"/>
      <c r="I43" s="533" t="s">
        <v>522</v>
      </c>
      <c r="J43" s="533"/>
      <c r="K43" s="533"/>
      <c r="L43" s="545" t="str">
        <f>IFERROR(HLOOKUP(P42,Workings!B79:V82,2,FALSE),)</f>
        <v>B+</v>
      </c>
      <c r="M43" s="545"/>
      <c r="N43" s="533" t="s">
        <v>505</v>
      </c>
      <c r="O43" s="533"/>
      <c r="P43" s="545" t="str">
        <f>IFERROR(VLOOKUP(T42,Workings!B69:C72,2,FALSE),)</f>
        <v>LR1</v>
      </c>
      <c r="Q43" s="545"/>
      <c r="R43" s="529" t="s">
        <v>562</v>
      </c>
      <c r="S43" s="530"/>
      <c r="T43" s="548" t="str">
        <f>IFERROR(HLOOKUP(P43,Workings!B74:G76,3,FALSE),)</f>
        <v>5%</v>
      </c>
      <c r="U43" s="549"/>
    </row>
    <row r="44" spans="1:21">
      <c r="A44" s="481"/>
      <c r="B44" s="533" t="s">
        <v>566</v>
      </c>
      <c r="C44" s="533"/>
      <c r="D44" s="533"/>
      <c r="E44" s="534" t="str">
        <f>P42&amp;" ("&amp;L43&amp;") , "&amp;P41 &amp;", "&amp; T41</f>
        <v>OR15 (B+) , Current, DI</v>
      </c>
      <c r="F44" s="534"/>
      <c r="G44" s="534"/>
      <c r="H44" s="534"/>
      <c r="I44" s="533" t="s">
        <v>568</v>
      </c>
      <c r="J44" s="533"/>
      <c r="K44" s="534" t="str">
        <f>P43&amp;" ("&amp;T43&amp;")"&amp;", "&amp;T42</f>
        <v>LR1 (5%), Other,Non Start-up</v>
      </c>
      <c r="L44" s="534"/>
      <c r="M44" s="534"/>
      <c r="N44" s="533" t="s">
        <v>311</v>
      </c>
      <c r="O44" s="533"/>
      <c r="P44" s="600">
        <v>7.1000000000000004E-3</v>
      </c>
      <c r="Q44" s="600"/>
      <c r="R44" s="529" t="s">
        <v>312</v>
      </c>
      <c r="S44" s="530"/>
      <c r="T44" s="531" t="s">
        <v>1828</v>
      </c>
      <c r="U44" s="532"/>
    </row>
    <row r="45" spans="1:21" ht="18.75">
      <c r="A45" s="481"/>
      <c r="B45" s="533" t="s">
        <v>1602</v>
      </c>
      <c r="C45" s="533"/>
      <c r="D45" s="533"/>
      <c r="E45" s="542" t="s">
        <v>1604</v>
      </c>
      <c r="F45" s="542"/>
      <c r="G45" s="542"/>
      <c r="H45" s="542"/>
      <c r="I45" s="533" t="s">
        <v>458</v>
      </c>
      <c r="J45" s="533"/>
      <c r="K45" s="550" t="str">
        <f>IFERROR(VLOOKUP(E45,Workings!D38:E40,2,FALSE),)</f>
        <v>Type B</v>
      </c>
      <c r="L45" s="550"/>
      <c r="M45" s="550"/>
      <c r="N45" s="533" t="s">
        <v>1606</v>
      </c>
      <c r="O45" s="533"/>
      <c r="P45" s="551" t="str">
        <f>IF(L8&gt;100,"Core","Retail")</f>
        <v>Core</v>
      </c>
      <c r="Q45" s="551"/>
      <c r="R45" s="546" t="s">
        <v>1748</v>
      </c>
      <c r="S45" s="547"/>
      <c r="T45" s="613" t="str">
        <f>IFERROR(IF(P45="Retail",Scorecard!K19,Scorecard!K42),"Data Error")</f>
        <v>Data Error</v>
      </c>
      <c r="U45" s="613"/>
    </row>
    <row r="46" spans="1:21" ht="18.75">
      <c r="A46" s="482"/>
      <c r="B46" s="533" t="s">
        <v>458</v>
      </c>
      <c r="C46" s="533"/>
      <c r="D46" s="533"/>
      <c r="E46" s="607" t="s">
        <v>1826</v>
      </c>
      <c r="F46" s="607"/>
      <c r="G46" s="607"/>
      <c r="H46" s="607"/>
      <c r="I46" s="533" t="s">
        <v>1810</v>
      </c>
      <c r="J46" s="533"/>
      <c r="K46" s="608">
        <v>3</v>
      </c>
      <c r="L46" s="608"/>
      <c r="M46" s="608"/>
      <c r="N46" s="533" t="s">
        <v>1811</v>
      </c>
      <c r="O46" s="533"/>
      <c r="P46" s="609"/>
      <c r="Q46" s="609"/>
      <c r="R46" s="359"/>
      <c r="S46" s="359"/>
      <c r="T46" s="360"/>
      <c r="U46" s="361"/>
    </row>
    <row r="47" spans="1:21" ht="18.75">
      <c r="A47" s="482"/>
      <c r="B47" s="533" t="s">
        <v>1814</v>
      </c>
      <c r="C47" s="533"/>
      <c r="D47" s="533"/>
      <c r="E47" s="610">
        <v>4</v>
      </c>
      <c r="F47" s="610"/>
      <c r="G47" s="610"/>
      <c r="H47" s="610"/>
      <c r="I47" s="533" t="s">
        <v>1815</v>
      </c>
      <c r="J47" s="533"/>
      <c r="K47" s="608">
        <v>3</v>
      </c>
      <c r="L47" s="608"/>
      <c r="M47" s="608"/>
      <c r="N47" s="611"/>
      <c r="O47" s="611"/>
      <c r="P47" s="609"/>
      <c r="Q47" s="609"/>
      <c r="R47" s="359"/>
      <c r="S47" s="359"/>
      <c r="T47" s="360"/>
      <c r="U47" s="361"/>
    </row>
    <row r="48" spans="1:21">
      <c r="A48" s="481"/>
      <c r="B48" s="555" t="s">
        <v>1387</v>
      </c>
      <c r="C48" s="556"/>
      <c r="D48" s="557"/>
      <c r="E48" s="604" t="s">
        <v>1388</v>
      </c>
      <c r="F48" s="605"/>
      <c r="G48" s="601" t="s">
        <v>1389</v>
      </c>
      <c r="H48" s="602"/>
      <c r="I48" s="602"/>
      <c r="J48" s="602"/>
      <c r="K48" s="603"/>
      <c r="L48" s="555" t="s">
        <v>1387</v>
      </c>
      <c r="M48" s="556"/>
      <c r="N48" s="557"/>
      <c r="O48" s="604" t="s">
        <v>1388</v>
      </c>
      <c r="P48" s="605"/>
      <c r="Q48" s="601" t="s">
        <v>1389</v>
      </c>
      <c r="R48" s="602"/>
      <c r="S48" s="602"/>
      <c r="T48" s="602"/>
      <c r="U48" s="603"/>
    </row>
    <row r="49" spans="1:22" ht="30" customHeight="1">
      <c r="A49" s="481"/>
      <c r="B49" s="535" t="s">
        <v>1390</v>
      </c>
      <c r="C49" s="536"/>
      <c r="D49" s="530"/>
      <c r="E49" s="537" t="s">
        <v>1757</v>
      </c>
      <c r="F49" s="538"/>
      <c r="G49" s="539" t="s">
        <v>1827</v>
      </c>
      <c r="H49" s="540"/>
      <c r="I49" s="540"/>
      <c r="J49" s="540"/>
      <c r="K49" s="541"/>
      <c r="L49" s="535" t="s">
        <v>1380</v>
      </c>
      <c r="M49" s="536"/>
      <c r="N49" s="530"/>
      <c r="O49" s="537" t="s">
        <v>1757</v>
      </c>
      <c r="P49" s="538"/>
      <c r="Q49" s="539" t="s">
        <v>1830</v>
      </c>
      <c r="R49" s="540"/>
      <c r="S49" s="540"/>
      <c r="T49" s="540"/>
      <c r="U49" s="541"/>
    </row>
    <row r="50" spans="1:22" ht="30" customHeight="1">
      <c r="A50" s="481"/>
      <c r="B50" s="535" t="s">
        <v>1381</v>
      </c>
      <c r="C50" s="536"/>
      <c r="D50" s="530"/>
      <c r="E50" s="537" t="s">
        <v>1757</v>
      </c>
      <c r="F50" s="538"/>
      <c r="G50" s="539" t="s">
        <v>1827</v>
      </c>
      <c r="H50" s="540"/>
      <c r="I50" s="540"/>
      <c r="J50" s="540"/>
      <c r="K50" s="541"/>
      <c r="L50" s="535" t="s">
        <v>1382</v>
      </c>
      <c r="M50" s="536"/>
      <c r="N50" s="530"/>
      <c r="O50" s="537" t="s">
        <v>1757</v>
      </c>
      <c r="P50" s="538"/>
      <c r="Q50" s="539" t="s">
        <v>1831</v>
      </c>
      <c r="R50" s="540"/>
      <c r="S50" s="540"/>
      <c r="T50" s="540"/>
      <c r="U50" s="541"/>
    </row>
    <row r="51" spans="1:22" ht="87.75" customHeight="1">
      <c r="A51" s="481"/>
      <c r="B51" s="535" t="s">
        <v>1383</v>
      </c>
      <c r="C51" s="536"/>
      <c r="D51" s="530"/>
      <c r="E51" s="537" t="s">
        <v>1757</v>
      </c>
      <c r="F51" s="538"/>
      <c r="G51" s="539" t="s">
        <v>1867</v>
      </c>
      <c r="H51" s="540"/>
      <c r="I51" s="540"/>
      <c r="J51" s="540"/>
      <c r="K51" s="541"/>
      <c r="L51" s="535" t="s">
        <v>1384</v>
      </c>
      <c r="M51" s="536"/>
      <c r="N51" s="530"/>
      <c r="O51" s="537" t="s">
        <v>1837</v>
      </c>
      <c r="P51" s="538"/>
      <c r="Q51" s="539" t="s">
        <v>1868</v>
      </c>
      <c r="R51" s="540"/>
      <c r="S51" s="540"/>
      <c r="T51" s="540"/>
      <c r="U51" s="541"/>
    </row>
    <row r="52" spans="1:22" ht="30" customHeight="1">
      <c r="A52" s="481"/>
      <c r="B52" s="535" t="s">
        <v>1385</v>
      </c>
      <c r="C52" s="536"/>
      <c r="D52" s="530"/>
      <c r="E52" s="537" t="s">
        <v>1482</v>
      </c>
      <c r="F52" s="538"/>
      <c r="G52" s="539" t="s">
        <v>1829</v>
      </c>
      <c r="H52" s="540"/>
      <c r="I52" s="540"/>
      <c r="J52" s="540"/>
      <c r="K52" s="541"/>
      <c r="L52" s="535" t="s">
        <v>1386</v>
      </c>
      <c r="M52" s="536"/>
      <c r="N52" s="530"/>
      <c r="O52" s="537" t="s">
        <v>1757</v>
      </c>
      <c r="P52" s="538"/>
      <c r="Q52" s="539" t="s">
        <v>1869</v>
      </c>
      <c r="R52" s="540"/>
      <c r="S52" s="540"/>
      <c r="T52" s="540"/>
      <c r="U52" s="541"/>
    </row>
    <row r="53" spans="1:22" ht="30" customHeight="1">
      <c r="A53" s="481"/>
      <c r="B53" s="535" t="s">
        <v>1391</v>
      </c>
      <c r="C53" s="536"/>
      <c r="D53" s="530"/>
      <c r="E53" s="537" t="s">
        <v>1482</v>
      </c>
      <c r="F53" s="538"/>
      <c r="G53" s="539"/>
      <c r="H53" s="540"/>
      <c r="I53" s="540"/>
      <c r="J53" s="540"/>
      <c r="K53" s="541"/>
      <c r="L53" s="535" t="s">
        <v>1392</v>
      </c>
      <c r="M53" s="536"/>
      <c r="N53" s="530"/>
      <c r="O53" s="537" t="s">
        <v>1482</v>
      </c>
      <c r="P53" s="538"/>
      <c r="Q53" s="539"/>
      <c r="R53" s="540"/>
      <c r="S53" s="540"/>
      <c r="T53" s="540"/>
      <c r="U53" s="541"/>
    </row>
    <row r="54" spans="1:22" ht="30" customHeight="1">
      <c r="A54" s="481"/>
      <c r="B54" s="555" t="s">
        <v>1393</v>
      </c>
      <c r="C54" s="556"/>
      <c r="D54" s="557"/>
      <c r="E54" s="604" t="s">
        <v>1388</v>
      </c>
      <c r="F54" s="605"/>
      <c r="G54" s="601" t="s">
        <v>1389</v>
      </c>
      <c r="H54" s="602"/>
      <c r="I54" s="602"/>
      <c r="J54" s="602"/>
      <c r="K54" s="603"/>
      <c r="L54" s="555" t="s">
        <v>1393</v>
      </c>
      <c r="M54" s="556"/>
      <c r="N54" s="557"/>
      <c r="O54" s="604" t="s">
        <v>1388</v>
      </c>
      <c r="P54" s="605"/>
      <c r="Q54" s="601" t="s">
        <v>1389</v>
      </c>
      <c r="R54" s="602"/>
      <c r="S54" s="602"/>
      <c r="T54" s="602"/>
      <c r="U54" s="603"/>
    </row>
    <row r="55" spans="1:22" ht="30" customHeight="1">
      <c r="A55" s="481"/>
      <c r="B55" s="535" t="s">
        <v>1394</v>
      </c>
      <c r="C55" s="536"/>
      <c r="D55" s="530"/>
      <c r="E55" s="537" t="s">
        <v>1482</v>
      </c>
      <c r="F55" s="538"/>
      <c r="G55" s="539" t="s">
        <v>1482</v>
      </c>
      <c r="H55" s="540"/>
      <c r="I55" s="540"/>
      <c r="J55" s="540"/>
      <c r="K55" s="541"/>
      <c r="L55" s="535" t="s">
        <v>1398</v>
      </c>
      <c r="M55" s="536"/>
      <c r="N55" s="530"/>
      <c r="O55" s="537" t="s">
        <v>402</v>
      </c>
      <c r="P55" s="538"/>
      <c r="Q55" s="539" t="s">
        <v>1831</v>
      </c>
      <c r="R55" s="540"/>
      <c r="S55" s="540"/>
      <c r="T55" s="540"/>
      <c r="U55" s="541"/>
    </row>
    <row r="56" spans="1:22" ht="30" customHeight="1">
      <c r="A56" s="481"/>
      <c r="B56" s="535" t="s">
        <v>1395</v>
      </c>
      <c r="C56" s="536"/>
      <c r="D56" s="530"/>
      <c r="E56" s="537" t="s">
        <v>402</v>
      </c>
      <c r="F56" s="538"/>
      <c r="G56" s="539" t="s">
        <v>402</v>
      </c>
      <c r="H56" s="540"/>
      <c r="I56" s="540"/>
      <c r="J56" s="540"/>
      <c r="K56" s="541"/>
      <c r="L56" s="535" t="s">
        <v>1399</v>
      </c>
      <c r="M56" s="536"/>
      <c r="N56" s="530"/>
      <c r="O56" s="537" t="s">
        <v>402</v>
      </c>
      <c r="P56" s="538"/>
      <c r="Q56" s="539" t="s">
        <v>1831</v>
      </c>
      <c r="R56" s="540"/>
      <c r="S56" s="540"/>
      <c r="T56" s="540"/>
      <c r="U56" s="541"/>
    </row>
    <row r="57" spans="1:22" ht="30" customHeight="1">
      <c r="A57" s="481"/>
      <c r="B57" s="535" t="s">
        <v>1396</v>
      </c>
      <c r="C57" s="536"/>
      <c r="D57" s="530"/>
      <c r="E57" s="537" t="s">
        <v>1482</v>
      </c>
      <c r="F57" s="538"/>
      <c r="G57" s="539" t="s">
        <v>1482</v>
      </c>
      <c r="H57" s="540"/>
      <c r="I57" s="540"/>
      <c r="J57" s="540"/>
      <c r="K57" s="541"/>
      <c r="L57" s="535" t="s">
        <v>1397</v>
      </c>
      <c r="M57" s="536"/>
      <c r="N57" s="530"/>
      <c r="O57" s="552"/>
      <c r="P57" s="553"/>
      <c r="Q57" s="553"/>
      <c r="R57" s="553"/>
      <c r="S57" s="553"/>
      <c r="T57" s="553"/>
      <c r="U57" s="554"/>
    </row>
    <row r="58" spans="1:22" s="83" customFormat="1" ht="19.5" customHeight="1">
      <c r="A58" s="483" t="s">
        <v>1749</v>
      </c>
      <c r="B58" s="509" t="s">
        <v>370</v>
      </c>
      <c r="C58" s="509"/>
      <c r="D58" s="509"/>
      <c r="E58" s="509"/>
      <c r="F58" s="509"/>
      <c r="G58" s="509"/>
      <c r="H58" s="509"/>
      <c r="I58" s="509"/>
      <c r="J58" s="509"/>
      <c r="K58" s="509"/>
      <c r="L58" s="509"/>
      <c r="M58" s="509"/>
      <c r="N58" s="509"/>
      <c r="O58" s="509"/>
      <c r="P58" s="509"/>
      <c r="Q58" s="509"/>
      <c r="R58" s="509"/>
      <c r="S58" s="509"/>
      <c r="T58" s="509"/>
      <c r="U58" s="509"/>
      <c r="V58" s="142"/>
    </row>
    <row r="59" spans="1:22" ht="15" customHeight="1">
      <c r="A59" s="484"/>
      <c r="B59" s="497" t="s">
        <v>1533</v>
      </c>
      <c r="C59" s="497"/>
      <c r="D59" s="497"/>
      <c r="E59" s="497"/>
      <c r="F59" s="497"/>
      <c r="G59" s="497"/>
      <c r="H59" s="473" t="s">
        <v>1894</v>
      </c>
      <c r="I59" s="474"/>
      <c r="J59" s="474"/>
      <c r="K59" s="474"/>
      <c r="L59" s="474"/>
      <c r="M59" s="474"/>
      <c r="N59" s="474"/>
      <c r="O59" s="474"/>
      <c r="P59" s="474"/>
      <c r="Q59" s="474"/>
      <c r="R59" s="474"/>
      <c r="S59" s="474"/>
      <c r="T59" s="474"/>
      <c r="U59" s="474"/>
    </row>
    <row r="60" spans="1:22" ht="15" customHeight="1">
      <c r="A60" s="484"/>
      <c r="B60" s="517"/>
      <c r="C60" s="517"/>
      <c r="D60" s="517"/>
      <c r="E60" s="517"/>
      <c r="F60" s="517"/>
      <c r="G60" s="517"/>
      <c r="H60" s="473"/>
      <c r="I60" s="474"/>
      <c r="J60" s="474"/>
      <c r="K60" s="474"/>
      <c r="L60" s="474"/>
      <c r="M60" s="474"/>
      <c r="N60" s="474"/>
      <c r="O60" s="474"/>
      <c r="P60" s="474"/>
      <c r="Q60" s="474"/>
      <c r="R60" s="474"/>
      <c r="S60" s="474"/>
      <c r="T60" s="474"/>
      <c r="U60" s="474"/>
    </row>
    <row r="61" spans="1:22" ht="15" hidden="1" customHeight="1">
      <c r="A61" s="484"/>
      <c r="B61" s="517"/>
      <c r="C61" s="517"/>
      <c r="D61" s="517"/>
      <c r="E61" s="517"/>
      <c r="F61" s="517"/>
      <c r="G61" s="517"/>
      <c r="H61" s="473"/>
      <c r="I61" s="474"/>
      <c r="J61" s="474"/>
      <c r="K61" s="474"/>
      <c r="L61" s="474"/>
      <c r="M61" s="474"/>
      <c r="N61" s="474"/>
      <c r="O61" s="474"/>
      <c r="P61" s="474"/>
      <c r="Q61" s="474"/>
      <c r="R61" s="474"/>
      <c r="S61" s="474"/>
      <c r="T61" s="474"/>
      <c r="U61" s="474"/>
    </row>
    <row r="62" spans="1:22" ht="15" customHeight="1">
      <c r="A62" s="484"/>
      <c r="B62" s="517"/>
      <c r="C62" s="517"/>
      <c r="D62" s="517"/>
      <c r="E62" s="517"/>
      <c r="F62" s="517"/>
      <c r="G62" s="517"/>
      <c r="H62" s="473"/>
      <c r="I62" s="474"/>
      <c r="J62" s="474"/>
      <c r="K62" s="474"/>
      <c r="L62" s="474"/>
      <c r="M62" s="474"/>
      <c r="N62" s="474"/>
      <c r="O62" s="474"/>
      <c r="P62" s="474"/>
      <c r="Q62" s="474"/>
      <c r="R62" s="474"/>
      <c r="S62" s="474"/>
      <c r="T62" s="474"/>
      <c r="U62" s="474"/>
    </row>
    <row r="63" spans="1:22" ht="15" customHeight="1">
      <c r="A63" s="484"/>
      <c r="B63" s="517"/>
      <c r="C63" s="517"/>
      <c r="D63" s="517"/>
      <c r="E63" s="517"/>
      <c r="F63" s="517"/>
      <c r="G63" s="517"/>
      <c r="H63" s="473"/>
      <c r="I63" s="474"/>
      <c r="J63" s="474"/>
      <c r="K63" s="474"/>
      <c r="L63" s="474"/>
      <c r="M63" s="474"/>
      <c r="N63" s="474"/>
      <c r="O63" s="474"/>
      <c r="P63" s="474"/>
      <c r="Q63" s="474"/>
      <c r="R63" s="474"/>
      <c r="S63" s="474"/>
      <c r="T63" s="474"/>
      <c r="U63" s="474"/>
    </row>
    <row r="64" spans="1:22" ht="15" customHeight="1">
      <c r="A64" s="484"/>
      <c r="B64" s="517"/>
      <c r="C64" s="517"/>
      <c r="D64" s="517"/>
      <c r="E64" s="517"/>
      <c r="F64" s="517"/>
      <c r="G64" s="517"/>
      <c r="H64" s="473"/>
      <c r="I64" s="474"/>
      <c r="J64" s="474"/>
      <c r="K64" s="474"/>
      <c r="L64" s="474"/>
      <c r="M64" s="474"/>
      <c r="N64" s="474"/>
      <c r="O64" s="474"/>
      <c r="P64" s="474"/>
      <c r="Q64" s="474"/>
      <c r="R64" s="474"/>
      <c r="S64" s="474"/>
      <c r="T64" s="474"/>
      <c r="U64" s="474"/>
    </row>
    <row r="65" spans="1:21" ht="15" customHeight="1">
      <c r="A65" s="484"/>
      <c r="B65" s="517"/>
      <c r="C65" s="517"/>
      <c r="D65" s="517"/>
      <c r="E65" s="517"/>
      <c r="F65" s="517"/>
      <c r="G65" s="517"/>
      <c r="H65" s="473"/>
      <c r="I65" s="474"/>
      <c r="J65" s="474"/>
      <c r="K65" s="474"/>
      <c r="L65" s="474"/>
      <c r="M65" s="474"/>
      <c r="N65" s="474"/>
      <c r="O65" s="474"/>
      <c r="P65" s="474"/>
      <c r="Q65" s="474"/>
      <c r="R65" s="474"/>
      <c r="S65" s="474"/>
      <c r="T65" s="474"/>
      <c r="U65" s="474"/>
    </row>
    <row r="66" spans="1:21" ht="15" customHeight="1">
      <c r="A66" s="484"/>
      <c r="B66" s="517"/>
      <c r="C66" s="517"/>
      <c r="D66" s="517"/>
      <c r="E66" s="517"/>
      <c r="F66" s="517"/>
      <c r="G66" s="517"/>
      <c r="H66" s="473"/>
      <c r="I66" s="474"/>
      <c r="J66" s="474"/>
      <c r="K66" s="474"/>
      <c r="L66" s="474"/>
      <c r="M66" s="474"/>
      <c r="N66" s="474"/>
      <c r="O66" s="474"/>
      <c r="P66" s="474"/>
      <c r="Q66" s="474"/>
      <c r="R66" s="474"/>
      <c r="S66" s="474"/>
      <c r="T66" s="474"/>
      <c r="U66" s="474"/>
    </row>
    <row r="67" spans="1:21" ht="15" customHeight="1">
      <c r="A67" s="484"/>
      <c r="B67" s="517"/>
      <c r="C67" s="517"/>
      <c r="D67" s="517"/>
      <c r="E67" s="517"/>
      <c r="F67" s="517"/>
      <c r="G67" s="517"/>
      <c r="H67" s="473"/>
      <c r="I67" s="474"/>
      <c r="J67" s="474"/>
      <c r="K67" s="474"/>
      <c r="L67" s="474"/>
      <c r="M67" s="474"/>
      <c r="N67" s="474"/>
      <c r="O67" s="474"/>
      <c r="P67" s="474"/>
      <c r="Q67" s="474"/>
      <c r="R67" s="474"/>
      <c r="S67" s="474"/>
      <c r="T67" s="474"/>
      <c r="U67" s="474"/>
    </row>
    <row r="68" spans="1:21" ht="15" customHeight="1">
      <c r="A68" s="484"/>
      <c r="B68" s="517"/>
      <c r="C68" s="517"/>
      <c r="D68" s="517"/>
      <c r="E68" s="517"/>
      <c r="F68" s="517"/>
      <c r="G68" s="517"/>
      <c r="H68" s="473"/>
      <c r="I68" s="474"/>
      <c r="J68" s="474"/>
      <c r="K68" s="474"/>
      <c r="L68" s="474"/>
      <c r="M68" s="474"/>
      <c r="N68" s="474"/>
      <c r="O68" s="474"/>
      <c r="P68" s="474"/>
      <c r="Q68" s="474"/>
      <c r="R68" s="474"/>
      <c r="S68" s="474"/>
      <c r="T68" s="474"/>
      <c r="U68" s="474"/>
    </row>
    <row r="69" spans="1:21" ht="15" customHeight="1">
      <c r="A69" s="484"/>
      <c r="B69" s="517"/>
      <c r="C69" s="517"/>
      <c r="D69" s="517"/>
      <c r="E69" s="517"/>
      <c r="F69" s="517"/>
      <c r="G69" s="517"/>
      <c r="H69" s="473"/>
      <c r="I69" s="474"/>
      <c r="J69" s="474"/>
      <c r="K69" s="474"/>
      <c r="L69" s="474"/>
      <c r="M69" s="474"/>
      <c r="N69" s="474"/>
      <c r="O69" s="474"/>
      <c r="P69" s="474"/>
      <c r="Q69" s="474"/>
      <c r="R69" s="474"/>
      <c r="S69" s="474"/>
      <c r="T69" s="474"/>
      <c r="U69" s="474"/>
    </row>
    <row r="70" spans="1:21" ht="15" customHeight="1">
      <c r="A70" s="484"/>
      <c r="B70" s="517"/>
      <c r="C70" s="517"/>
      <c r="D70" s="517"/>
      <c r="E70" s="517"/>
      <c r="F70" s="517"/>
      <c r="G70" s="517"/>
      <c r="H70" s="473"/>
      <c r="I70" s="474"/>
      <c r="J70" s="474"/>
      <c r="K70" s="474"/>
      <c r="L70" s="474"/>
      <c r="M70" s="474"/>
      <c r="N70" s="474"/>
      <c r="O70" s="474"/>
      <c r="P70" s="474"/>
      <c r="Q70" s="474"/>
      <c r="R70" s="474"/>
      <c r="S70" s="474"/>
      <c r="T70" s="474"/>
      <c r="U70" s="474"/>
    </row>
    <row r="71" spans="1:21">
      <c r="A71" s="484"/>
      <c r="B71" s="497"/>
      <c r="C71" s="497"/>
      <c r="D71" s="497"/>
      <c r="E71" s="497"/>
      <c r="F71" s="497"/>
      <c r="G71" s="497"/>
      <c r="H71" s="474"/>
      <c r="I71" s="474"/>
      <c r="J71" s="474"/>
      <c r="K71" s="474"/>
      <c r="L71" s="474"/>
      <c r="M71" s="474"/>
      <c r="N71" s="474"/>
      <c r="O71" s="474"/>
      <c r="P71" s="474"/>
      <c r="Q71" s="474"/>
      <c r="R71" s="474"/>
      <c r="S71" s="474"/>
      <c r="T71" s="474"/>
      <c r="U71" s="474"/>
    </row>
    <row r="72" spans="1:21">
      <c r="A72" s="484"/>
      <c r="B72" s="497"/>
      <c r="C72" s="497"/>
      <c r="D72" s="497"/>
      <c r="E72" s="497"/>
      <c r="F72" s="497"/>
      <c r="G72" s="497"/>
      <c r="H72" s="474"/>
      <c r="I72" s="474"/>
      <c r="J72" s="474"/>
      <c r="K72" s="474"/>
      <c r="L72" s="474"/>
      <c r="M72" s="474"/>
      <c r="N72" s="474"/>
      <c r="O72" s="474"/>
      <c r="P72" s="474"/>
      <c r="Q72" s="474"/>
      <c r="R72" s="474"/>
      <c r="S72" s="474"/>
      <c r="T72" s="474"/>
      <c r="U72" s="474"/>
    </row>
    <row r="73" spans="1:21">
      <c r="A73" s="484"/>
      <c r="B73" s="497"/>
      <c r="C73" s="497"/>
      <c r="D73" s="497"/>
      <c r="E73" s="497"/>
      <c r="F73" s="497"/>
      <c r="G73" s="497"/>
      <c r="H73" s="474"/>
      <c r="I73" s="474"/>
      <c r="J73" s="474"/>
      <c r="K73" s="474"/>
      <c r="L73" s="474"/>
      <c r="M73" s="474"/>
      <c r="N73" s="474"/>
      <c r="O73" s="474"/>
      <c r="P73" s="474"/>
      <c r="Q73" s="474"/>
      <c r="R73" s="474"/>
      <c r="S73" s="474"/>
      <c r="T73" s="474"/>
      <c r="U73" s="474"/>
    </row>
    <row r="74" spans="1:21">
      <c r="A74" s="484"/>
      <c r="B74" s="497"/>
      <c r="C74" s="497"/>
      <c r="D74" s="497"/>
      <c r="E74" s="497"/>
      <c r="F74" s="497"/>
      <c r="G74" s="497"/>
      <c r="H74" s="474"/>
      <c r="I74" s="474"/>
      <c r="J74" s="474"/>
      <c r="K74" s="474"/>
      <c r="L74" s="474"/>
      <c r="M74" s="474"/>
      <c r="N74" s="474"/>
      <c r="O74" s="474"/>
      <c r="P74" s="474"/>
      <c r="Q74" s="474"/>
      <c r="R74" s="474"/>
      <c r="S74" s="474"/>
      <c r="T74" s="474"/>
      <c r="U74" s="474"/>
    </row>
    <row r="75" spans="1:21" ht="15" customHeight="1">
      <c r="A75" s="484"/>
      <c r="B75" s="497" t="s">
        <v>371</v>
      </c>
      <c r="C75" s="497"/>
      <c r="D75" s="497"/>
      <c r="E75" s="497"/>
      <c r="F75" s="497"/>
      <c r="G75" s="497"/>
      <c r="H75" s="473" t="s">
        <v>1898</v>
      </c>
      <c r="I75" s="474"/>
      <c r="J75" s="474"/>
      <c r="K75" s="474"/>
      <c r="L75" s="474"/>
      <c r="M75" s="474"/>
      <c r="N75" s="474"/>
      <c r="O75" s="474"/>
      <c r="P75" s="474"/>
      <c r="Q75" s="474"/>
      <c r="R75" s="474"/>
      <c r="S75" s="474"/>
      <c r="T75" s="474"/>
      <c r="U75" s="474"/>
    </row>
    <row r="76" spans="1:21" ht="15" customHeight="1">
      <c r="A76" s="484"/>
      <c r="B76" s="517"/>
      <c r="C76" s="517"/>
      <c r="D76" s="517"/>
      <c r="E76" s="517"/>
      <c r="F76" s="517"/>
      <c r="G76" s="517"/>
      <c r="H76" s="473"/>
      <c r="I76" s="474"/>
      <c r="J76" s="474"/>
      <c r="K76" s="474"/>
      <c r="L76" s="474"/>
      <c r="M76" s="474"/>
      <c r="N76" s="474"/>
      <c r="O76" s="474"/>
      <c r="P76" s="474"/>
      <c r="Q76" s="474"/>
      <c r="R76" s="474"/>
      <c r="S76" s="474"/>
      <c r="T76" s="474"/>
      <c r="U76" s="474"/>
    </row>
    <row r="77" spans="1:21" ht="15" customHeight="1">
      <c r="A77" s="484"/>
      <c r="B77" s="517"/>
      <c r="C77" s="517"/>
      <c r="D77" s="517"/>
      <c r="E77" s="517"/>
      <c r="F77" s="517"/>
      <c r="G77" s="517"/>
      <c r="H77" s="473"/>
      <c r="I77" s="474"/>
      <c r="J77" s="474"/>
      <c r="K77" s="474"/>
      <c r="L77" s="474"/>
      <c r="M77" s="474"/>
      <c r="N77" s="474"/>
      <c r="O77" s="474"/>
      <c r="P77" s="474"/>
      <c r="Q77" s="474"/>
      <c r="R77" s="474"/>
      <c r="S77" s="474"/>
      <c r="T77" s="474"/>
      <c r="U77" s="474"/>
    </row>
    <row r="78" spans="1:21" ht="15" customHeight="1">
      <c r="A78" s="484"/>
      <c r="B78" s="517"/>
      <c r="C78" s="517"/>
      <c r="D78" s="517"/>
      <c r="E78" s="517"/>
      <c r="F78" s="517"/>
      <c r="G78" s="517"/>
      <c r="H78" s="473"/>
      <c r="I78" s="474"/>
      <c r="J78" s="474"/>
      <c r="K78" s="474"/>
      <c r="L78" s="474"/>
      <c r="M78" s="474"/>
      <c r="N78" s="474"/>
      <c r="O78" s="474"/>
      <c r="P78" s="474"/>
      <c r="Q78" s="474"/>
      <c r="R78" s="474"/>
      <c r="S78" s="474"/>
      <c r="T78" s="474"/>
      <c r="U78" s="474"/>
    </row>
    <row r="79" spans="1:21" ht="15" customHeight="1">
      <c r="A79" s="484"/>
      <c r="B79" s="517"/>
      <c r="C79" s="517"/>
      <c r="D79" s="517"/>
      <c r="E79" s="517"/>
      <c r="F79" s="517"/>
      <c r="G79" s="517"/>
      <c r="H79" s="473"/>
      <c r="I79" s="474"/>
      <c r="J79" s="474"/>
      <c r="K79" s="474"/>
      <c r="L79" s="474"/>
      <c r="M79" s="474"/>
      <c r="N79" s="474"/>
      <c r="O79" s="474"/>
      <c r="P79" s="474"/>
      <c r="Q79" s="474"/>
      <c r="R79" s="474"/>
      <c r="S79" s="474"/>
      <c r="T79" s="474"/>
      <c r="U79" s="474"/>
    </row>
    <row r="80" spans="1:21" ht="15" customHeight="1">
      <c r="A80" s="484"/>
      <c r="B80" s="517"/>
      <c r="C80" s="517"/>
      <c r="D80" s="517"/>
      <c r="E80" s="517"/>
      <c r="F80" s="517"/>
      <c r="G80" s="517"/>
      <c r="H80" s="473"/>
      <c r="I80" s="474"/>
      <c r="J80" s="474"/>
      <c r="K80" s="474"/>
      <c r="L80" s="474"/>
      <c r="M80" s="474"/>
      <c r="N80" s="474"/>
      <c r="O80" s="474"/>
      <c r="P80" s="474"/>
      <c r="Q80" s="474"/>
      <c r="R80" s="474"/>
      <c r="S80" s="474"/>
      <c r="T80" s="474"/>
      <c r="U80" s="474"/>
    </row>
    <row r="81" spans="1:21" ht="15" customHeight="1">
      <c r="A81" s="484"/>
      <c r="B81" s="517"/>
      <c r="C81" s="517"/>
      <c r="D81" s="517"/>
      <c r="E81" s="517"/>
      <c r="F81" s="517"/>
      <c r="G81" s="517"/>
      <c r="H81" s="473"/>
      <c r="I81" s="474"/>
      <c r="J81" s="474"/>
      <c r="K81" s="474"/>
      <c r="L81" s="474"/>
      <c r="M81" s="474"/>
      <c r="N81" s="474"/>
      <c r="O81" s="474"/>
      <c r="P81" s="474"/>
      <c r="Q81" s="474"/>
      <c r="R81" s="474"/>
      <c r="S81" s="474"/>
      <c r="T81" s="474"/>
      <c r="U81" s="474"/>
    </row>
    <row r="82" spans="1:21" ht="15" customHeight="1">
      <c r="A82" s="484"/>
      <c r="B82" s="517"/>
      <c r="C82" s="517"/>
      <c r="D82" s="517"/>
      <c r="E82" s="517"/>
      <c r="F82" s="517"/>
      <c r="G82" s="517"/>
      <c r="H82" s="473"/>
      <c r="I82" s="474"/>
      <c r="J82" s="474"/>
      <c r="K82" s="474"/>
      <c r="L82" s="474"/>
      <c r="M82" s="474"/>
      <c r="N82" s="474"/>
      <c r="O82" s="474"/>
      <c r="P82" s="474"/>
      <c r="Q82" s="474"/>
      <c r="R82" s="474"/>
      <c r="S82" s="474"/>
      <c r="T82" s="474"/>
      <c r="U82" s="474"/>
    </row>
    <row r="83" spans="1:21" ht="15" customHeight="1">
      <c r="A83" s="484"/>
      <c r="B83" s="517"/>
      <c r="C83" s="517"/>
      <c r="D83" s="517"/>
      <c r="E83" s="517"/>
      <c r="F83" s="517"/>
      <c r="G83" s="517"/>
      <c r="H83" s="473"/>
      <c r="I83" s="474"/>
      <c r="J83" s="474"/>
      <c r="K83" s="474"/>
      <c r="L83" s="474"/>
      <c r="M83" s="474"/>
      <c r="N83" s="474"/>
      <c r="O83" s="474"/>
      <c r="P83" s="474"/>
      <c r="Q83" s="474"/>
      <c r="R83" s="474"/>
      <c r="S83" s="474"/>
      <c r="T83" s="474"/>
      <c r="U83" s="474"/>
    </row>
    <row r="84" spans="1:21" ht="15" customHeight="1">
      <c r="A84" s="484"/>
      <c r="B84" s="517"/>
      <c r="C84" s="517"/>
      <c r="D84" s="517"/>
      <c r="E84" s="517"/>
      <c r="F84" s="517"/>
      <c r="G84" s="517"/>
      <c r="H84" s="473"/>
      <c r="I84" s="474"/>
      <c r="J84" s="474"/>
      <c r="K84" s="474"/>
      <c r="L84" s="474"/>
      <c r="M84" s="474"/>
      <c r="N84" s="474"/>
      <c r="O84" s="474"/>
      <c r="P84" s="474"/>
      <c r="Q84" s="474"/>
      <c r="R84" s="474"/>
      <c r="S84" s="474"/>
      <c r="T84" s="474"/>
      <c r="U84" s="474"/>
    </row>
    <row r="85" spans="1:21" ht="15" customHeight="1">
      <c r="A85" s="484"/>
      <c r="B85" s="517"/>
      <c r="C85" s="517"/>
      <c r="D85" s="517"/>
      <c r="E85" s="517"/>
      <c r="F85" s="517"/>
      <c r="G85" s="517"/>
      <c r="H85" s="473"/>
      <c r="I85" s="474"/>
      <c r="J85" s="474"/>
      <c r="K85" s="474"/>
      <c r="L85" s="474"/>
      <c r="M85" s="474"/>
      <c r="N85" s="474"/>
      <c r="O85" s="474"/>
      <c r="P85" s="474"/>
      <c r="Q85" s="474"/>
      <c r="R85" s="474"/>
      <c r="S85" s="474"/>
      <c r="T85" s="474"/>
      <c r="U85" s="474"/>
    </row>
    <row r="86" spans="1:21" ht="15" customHeight="1">
      <c r="A86" s="484"/>
      <c r="B86" s="517"/>
      <c r="C86" s="517"/>
      <c r="D86" s="517"/>
      <c r="E86" s="517"/>
      <c r="F86" s="517"/>
      <c r="G86" s="517"/>
      <c r="H86" s="473"/>
      <c r="I86" s="474"/>
      <c r="J86" s="474"/>
      <c r="K86" s="474"/>
      <c r="L86" s="474"/>
      <c r="M86" s="474"/>
      <c r="N86" s="474"/>
      <c r="O86" s="474"/>
      <c r="P86" s="474"/>
      <c r="Q86" s="474"/>
      <c r="R86" s="474"/>
      <c r="S86" s="474"/>
      <c r="T86" s="474"/>
      <c r="U86" s="474"/>
    </row>
    <row r="87" spans="1:21" ht="15" customHeight="1">
      <c r="A87" s="484"/>
      <c r="B87" s="517"/>
      <c r="C87" s="517"/>
      <c r="D87" s="517"/>
      <c r="E87" s="517"/>
      <c r="F87" s="517"/>
      <c r="G87" s="517"/>
      <c r="H87" s="473"/>
      <c r="I87" s="474"/>
      <c r="J87" s="474"/>
      <c r="K87" s="474"/>
      <c r="L87" s="474"/>
      <c r="M87" s="474"/>
      <c r="N87" s="474"/>
      <c r="O87" s="474"/>
      <c r="P87" s="474"/>
      <c r="Q87" s="474"/>
      <c r="R87" s="474"/>
      <c r="S87" s="474"/>
      <c r="T87" s="474"/>
      <c r="U87" s="474"/>
    </row>
    <row r="88" spans="1:21">
      <c r="A88" s="484"/>
      <c r="B88" s="497"/>
      <c r="C88" s="497"/>
      <c r="D88" s="497"/>
      <c r="E88" s="497"/>
      <c r="F88" s="497"/>
      <c r="G88" s="497"/>
      <c r="H88" s="474"/>
      <c r="I88" s="474"/>
      <c r="J88" s="474"/>
      <c r="K88" s="474"/>
      <c r="L88" s="474"/>
      <c r="M88" s="474"/>
      <c r="N88" s="474"/>
      <c r="O88" s="474"/>
      <c r="P88" s="474"/>
      <c r="Q88" s="474"/>
      <c r="R88" s="474"/>
      <c r="S88" s="474"/>
      <c r="T88" s="474"/>
      <c r="U88" s="474"/>
    </row>
    <row r="89" spans="1:21">
      <c r="A89" s="484"/>
      <c r="B89" s="497"/>
      <c r="C89" s="497"/>
      <c r="D89" s="497"/>
      <c r="E89" s="497"/>
      <c r="F89" s="497"/>
      <c r="G89" s="497"/>
      <c r="H89" s="474"/>
      <c r="I89" s="474"/>
      <c r="J89" s="474"/>
      <c r="K89" s="474"/>
      <c r="L89" s="474"/>
      <c r="M89" s="474"/>
      <c r="N89" s="474"/>
      <c r="O89" s="474"/>
      <c r="P89" s="474"/>
      <c r="Q89" s="474"/>
      <c r="R89" s="474"/>
      <c r="S89" s="474"/>
      <c r="T89" s="474"/>
      <c r="U89" s="474"/>
    </row>
    <row r="90" spans="1:21">
      <c r="A90" s="484"/>
      <c r="B90" s="497"/>
      <c r="C90" s="497"/>
      <c r="D90" s="497"/>
      <c r="E90" s="497"/>
      <c r="F90" s="497"/>
      <c r="G90" s="497"/>
      <c r="H90" s="474"/>
      <c r="I90" s="474"/>
      <c r="J90" s="474"/>
      <c r="K90" s="474"/>
      <c r="L90" s="474"/>
      <c r="M90" s="474"/>
      <c r="N90" s="474"/>
      <c r="O90" s="474"/>
      <c r="P90" s="474"/>
      <c r="Q90" s="474"/>
      <c r="R90" s="474"/>
      <c r="S90" s="474"/>
      <c r="T90" s="474"/>
      <c r="U90" s="474"/>
    </row>
    <row r="91" spans="1:21">
      <c r="A91" s="484"/>
      <c r="B91" s="497"/>
      <c r="C91" s="497"/>
      <c r="D91" s="497"/>
      <c r="E91" s="497"/>
      <c r="F91" s="497"/>
      <c r="G91" s="497"/>
      <c r="H91" s="474"/>
      <c r="I91" s="474"/>
      <c r="J91" s="474"/>
      <c r="K91" s="474"/>
      <c r="L91" s="474"/>
      <c r="M91" s="474"/>
      <c r="N91" s="474"/>
      <c r="O91" s="474"/>
      <c r="P91" s="474"/>
      <c r="Q91" s="474"/>
      <c r="R91" s="474"/>
      <c r="S91" s="474"/>
      <c r="T91" s="474"/>
      <c r="U91" s="474"/>
    </row>
    <row r="92" spans="1:21" ht="15" customHeight="1">
      <c r="A92" s="484"/>
      <c r="B92" s="497" t="s">
        <v>372</v>
      </c>
      <c r="C92" s="497"/>
      <c r="D92" s="497"/>
      <c r="E92" s="497"/>
      <c r="F92" s="497"/>
      <c r="G92" s="497"/>
      <c r="H92" s="473" t="s">
        <v>1894</v>
      </c>
      <c r="I92" s="474"/>
      <c r="J92" s="474"/>
      <c r="K92" s="474"/>
      <c r="L92" s="474"/>
      <c r="M92" s="474"/>
      <c r="N92" s="474"/>
      <c r="O92" s="474"/>
      <c r="P92" s="474"/>
      <c r="Q92" s="474"/>
      <c r="R92" s="474"/>
      <c r="S92" s="474"/>
      <c r="T92" s="474"/>
      <c r="U92" s="474"/>
    </row>
    <row r="93" spans="1:21" ht="15" customHeight="1">
      <c r="A93" s="484"/>
      <c r="B93" s="517"/>
      <c r="C93" s="517"/>
      <c r="D93" s="517"/>
      <c r="E93" s="517"/>
      <c r="F93" s="517"/>
      <c r="G93" s="517"/>
      <c r="H93" s="473"/>
      <c r="I93" s="474"/>
      <c r="J93" s="474"/>
      <c r="K93" s="474"/>
      <c r="L93" s="474"/>
      <c r="M93" s="474"/>
      <c r="N93" s="474"/>
      <c r="O93" s="474"/>
      <c r="P93" s="474"/>
      <c r="Q93" s="474"/>
      <c r="R93" s="474"/>
      <c r="S93" s="474"/>
      <c r="T93" s="474"/>
      <c r="U93" s="474"/>
    </row>
    <row r="94" spans="1:21" ht="15" customHeight="1">
      <c r="A94" s="484"/>
      <c r="B94" s="517"/>
      <c r="C94" s="517"/>
      <c r="D94" s="517"/>
      <c r="E94" s="517"/>
      <c r="F94" s="517"/>
      <c r="G94" s="517"/>
      <c r="H94" s="473"/>
      <c r="I94" s="474"/>
      <c r="J94" s="474"/>
      <c r="K94" s="474"/>
      <c r="L94" s="474"/>
      <c r="M94" s="474"/>
      <c r="N94" s="474"/>
      <c r="O94" s="474"/>
      <c r="P94" s="474"/>
      <c r="Q94" s="474"/>
      <c r="R94" s="474"/>
      <c r="S94" s="474"/>
      <c r="T94" s="474"/>
      <c r="U94" s="474"/>
    </row>
    <row r="95" spans="1:21" ht="15" customHeight="1">
      <c r="A95" s="484"/>
      <c r="B95" s="517"/>
      <c r="C95" s="517"/>
      <c r="D95" s="517"/>
      <c r="E95" s="517"/>
      <c r="F95" s="517"/>
      <c r="G95" s="517"/>
      <c r="H95" s="473"/>
      <c r="I95" s="474"/>
      <c r="J95" s="474"/>
      <c r="K95" s="474"/>
      <c r="L95" s="474"/>
      <c r="M95" s="474"/>
      <c r="N95" s="474"/>
      <c r="O95" s="474"/>
      <c r="P95" s="474"/>
      <c r="Q95" s="474"/>
      <c r="R95" s="474"/>
      <c r="S95" s="474"/>
      <c r="T95" s="474"/>
      <c r="U95" s="474"/>
    </row>
    <row r="96" spans="1:21" ht="15" customHeight="1">
      <c r="A96" s="484"/>
      <c r="B96" s="517"/>
      <c r="C96" s="517"/>
      <c r="D96" s="517"/>
      <c r="E96" s="517"/>
      <c r="F96" s="517"/>
      <c r="G96" s="517"/>
      <c r="H96" s="473"/>
      <c r="I96" s="474"/>
      <c r="J96" s="474"/>
      <c r="K96" s="474"/>
      <c r="L96" s="474"/>
      <c r="M96" s="474"/>
      <c r="N96" s="474"/>
      <c r="O96" s="474"/>
      <c r="P96" s="474"/>
      <c r="Q96" s="474"/>
      <c r="R96" s="474"/>
      <c r="S96" s="474"/>
      <c r="T96" s="474"/>
      <c r="U96" s="474"/>
    </row>
    <row r="97" spans="1:21" ht="15" customHeight="1">
      <c r="A97" s="484"/>
      <c r="B97" s="517"/>
      <c r="C97" s="517"/>
      <c r="D97" s="517"/>
      <c r="E97" s="517"/>
      <c r="F97" s="517"/>
      <c r="G97" s="517"/>
      <c r="H97" s="473"/>
      <c r="I97" s="474"/>
      <c r="J97" s="474"/>
      <c r="K97" s="474"/>
      <c r="L97" s="474"/>
      <c r="M97" s="474"/>
      <c r="N97" s="474"/>
      <c r="O97" s="474"/>
      <c r="P97" s="474"/>
      <c r="Q97" s="474"/>
      <c r="R97" s="474"/>
      <c r="S97" s="474"/>
      <c r="T97" s="474"/>
      <c r="U97" s="474"/>
    </row>
    <row r="98" spans="1:21" ht="15" customHeight="1">
      <c r="A98" s="484"/>
      <c r="B98" s="517"/>
      <c r="C98" s="517"/>
      <c r="D98" s="517"/>
      <c r="E98" s="517"/>
      <c r="F98" s="517"/>
      <c r="G98" s="517"/>
      <c r="H98" s="473"/>
      <c r="I98" s="474"/>
      <c r="J98" s="474"/>
      <c r="K98" s="474"/>
      <c r="L98" s="474"/>
      <c r="M98" s="474"/>
      <c r="N98" s="474"/>
      <c r="O98" s="474"/>
      <c r="P98" s="474"/>
      <c r="Q98" s="474"/>
      <c r="R98" s="474"/>
      <c r="S98" s="474"/>
      <c r="T98" s="474"/>
      <c r="U98" s="474"/>
    </row>
    <row r="99" spans="1:21" ht="15" customHeight="1">
      <c r="A99" s="484"/>
      <c r="B99" s="517"/>
      <c r="C99" s="517"/>
      <c r="D99" s="517"/>
      <c r="E99" s="517"/>
      <c r="F99" s="517"/>
      <c r="G99" s="517"/>
      <c r="H99" s="473"/>
      <c r="I99" s="474"/>
      <c r="J99" s="474"/>
      <c r="K99" s="474"/>
      <c r="L99" s="474"/>
      <c r="M99" s="474"/>
      <c r="N99" s="474"/>
      <c r="O99" s="474"/>
      <c r="P99" s="474"/>
      <c r="Q99" s="474"/>
      <c r="R99" s="474"/>
      <c r="S99" s="474"/>
      <c r="T99" s="474"/>
      <c r="U99" s="474"/>
    </row>
    <row r="100" spans="1:21" ht="15" customHeight="1">
      <c r="A100" s="484"/>
      <c r="B100" s="517"/>
      <c r="C100" s="517"/>
      <c r="D100" s="517"/>
      <c r="E100" s="517"/>
      <c r="F100" s="517"/>
      <c r="G100" s="517"/>
      <c r="H100" s="473"/>
      <c r="I100" s="474"/>
      <c r="J100" s="474"/>
      <c r="K100" s="474"/>
      <c r="L100" s="474"/>
      <c r="M100" s="474"/>
      <c r="N100" s="474"/>
      <c r="O100" s="474"/>
      <c r="P100" s="474"/>
      <c r="Q100" s="474"/>
      <c r="R100" s="474"/>
      <c r="S100" s="474"/>
      <c r="T100" s="474"/>
      <c r="U100" s="474"/>
    </row>
    <row r="101" spans="1:21" ht="15" customHeight="1">
      <c r="A101" s="484"/>
      <c r="B101" s="517"/>
      <c r="C101" s="517"/>
      <c r="D101" s="517"/>
      <c r="E101" s="517"/>
      <c r="F101" s="517"/>
      <c r="G101" s="517"/>
      <c r="H101" s="473"/>
      <c r="I101" s="474"/>
      <c r="J101" s="474"/>
      <c r="K101" s="474"/>
      <c r="L101" s="474"/>
      <c r="M101" s="474"/>
      <c r="N101" s="474"/>
      <c r="O101" s="474"/>
      <c r="P101" s="474"/>
      <c r="Q101" s="474"/>
      <c r="R101" s="474"/>
      <c r="S101" s="474"/>
      <c r="T101" s="474"/>
      <c r="U101" s="474"/>
    </row>
    <row r="102" spans="1:21" ht="15" customHeight="1">
      <c r="A102" s="484"/>
      <c r="B102" s="517"/>
      <c r="C102" s="517"/>
      <c r="D102" s="517"/>
      <c r="E102" s="517"/>
      <c r="F102" s="517"/>
      <c r="G102" s="517"/>
      <c r="H102" s="473"/>
      <c r="I102" s="474"/>
      <c r="J102" s="474"/>
      <c r="K102" s="474"/>
      <c r="L102" s="474"/>
      <c r="M102" s="474"/>
      <c r="N102" s="474"/>
      <c r="O102" s="474"/>
      <c r="P102" s="474"/>
      <c r="Q102" s="474"/>
      <c r="R102" s="474"/>
      <c r="S102" s="474"/>
      <c r="T102" s="474"/>
      <c r="U102" s="474"/>
    </row>
    <row r="103" spans="1:21" ht="15" customHeight="1">
      <c r="A103" s="484"/>
      <c r="B103" s="517"/>
      <c r="C103" s="517"/>
      <c r="D103" s="517"/>
      <c r="E103" s="517"/>
      <c r="F103" s="517"/>
      <c r="G103" s="517"/>
      <c r="H103" s="473"/>
      <c r="I103" s="474"/>
      <c r="J103" s="474"/>
      <c r="K103" s="474"/>
      <c r="L103" s="474"/>
      <c r="M103" s="474"/>
      <c r="N103" s="474"/>
      <c r="O103" s="474"/>
      <c r="P103" s="474"/>
      <c r="Q103" s="474"/>
      <c r="R103" s="474"/>
      <c r="S103" s="474"/>
      <c r="T103" s="474"/>
      <c r="U103" s="474"/>
    </row>
    <row r="104" spans="1:21" ht="15" customHeight="1">
      <c r="A104" s="484"/>
      <c r="B104" s="517"/>
      <c r="C104" s="517"/>
      <c r="D104" s="517"/>
      <c r="E104" s="517"/>
      <c r="F104" s="517"/>
      <c r="G104" s="517"/>
      <c r="H104" s="473"/>
      <c r="I104" s="474"/>
      <c r="J104" s="474"/>
      <c r="K104" s="474"/>
      <c r="L104" s="474"/>
      <c r="M104" s="474"/>
      <c r="N104" s="474"/>
      <c r="O104" s="474"/>
      <c r="P104" s="474"/>
      <c r="Q104" s="474"/>
      <c r="R104" s="474"/>
      <c r="S104" s="474"/>
      <c r="T104" s="474"/>
      <c r="U104" s="474"/>
    </row>
    <row r="105" spans="1:21" ht="15" customHeight="1">
      <c r="A105" s="484"/>
      <c r="B105" s="517"/>
      <c r="C105" s="517"/>
      <c r="D105" s="517"/>
      <c r="E105" s="517"/>
      <c r="F105" s="517"/>
      <c r="G105" s="517"/>
      <c r="H105" s="473"/>
      <c r="I105" s="474"/>
      <c r="J105" s="474"/>
      <c r="K105" s="474"/>
      <c r="L105" s="474"/>
      <c r="M105" s="474"/>
      <c r="N105" s="474"/>
      <c r="O105" s="474"/>
      <c r="P105" s="474"/>
      <c r="Q105" s="474"/>
      <c r="R105" s="474"/>
      <c r="S105" s="474"/>
      <c r="T105" s="474"/>
      <c r="U105" s="474"/>
    </row>
    <row r="106" spans="1:21">
      <c r="A106" s="484"/>
      <c r="B106" s="497"/>
      <c r="C106" s="497"/>
      <c r="D106" s="497"/>
      <c r="E106" s="497"/>
      <c r="F106" s="497"/>
      <c r="G106" s="497"/>
      <c r="H106" s="474"/>
      <c r="I106" s="474"/>
      <c r="J106" s="474"/>
      <c r="K106" s="474"/>
      <c r="L106" s="474"/>
      <c r="M106" s="474"/>
      <c r="N106" s="474"/>
      <c r="O106" s="474"/>
      <c r="P106" s="474"/>
      <c r="Q106" s="474"/>
      <c r="R106" s="474"/>
      <c r="S106" s="474"/>
      <c r="T106" s="474"/>
      <c r="U106" s="474"/>
    </row>
    <row r="107" spans="1:21">
      <c r="A107" s="484"/>
      <c r="B107" s="497"/>
      <c r="C107" s="497"/>
      <c r="D107" s="497"/>
      <c r="E107" s="497"/>
      <c r="F107" s="497"/>
      <c r="G107" s="497"/>
      <c r="H107" s="474"/>
      <c r="I107" s="474"/>
      <c r="J107" s="474"/>
      <c r="K107" s="474"/>
      <c r="L107" s="474"/>
      <c r="M107" s="474"/>
      <c r="N107" s="474"/>
      <c r="O107" s="474"/>
      <c r="P107" s="474"/>
      <c r="Q107" s="474"/>
      <c r="R107" s="474"/>
      <c r="S107" s="474"/>
      <c r="T107" s="474"/>
      <c r="U107" s="474"/>
    </row>
    <row r="108" spans="1:21">
      <c r="A108" s="484"/>
      <c r="B108" s="497"/>
      <c r="C108" s="497"/>
      <c r="D108" s="497"/>
      <c r="E108" s="497"/>
      <c r="F108" s="497"/>
      <c r="G108" s="497"/>
      <c r="H108" s="474"/>
      <c r="I108" s="474"/>
      <c r="J108" s="474"/>
      <c r="K108" s="474"/>
      <c r="L108" s="474"/>
      <c r="M108" s="474"/>
      <c r="N108" s="474"/>
      <c r="O108" s="474"/>
      <c r="P108" s="474"/>
      <c r="Q108" s="474"/>
      <c r="R108" s="474"/>
      <c r="S108" s="474"/>
      <c r="T108" s="474"/>
      <c r="U108" s="474"/>
    </row>
    <row r="109" spans="1:21">
      <c r="A109" s="484"/>
      <c r="B109" s="497"/>
      <c r="C109" s="497"/>
      <c r="D109" s="497"/>
      <c r="E109" s="497"/>
      <c r="F109" s="497"/>
      <c r="G109" s="497"/>
      <c r="H109" s="474"/>
      <c r="I109" s="474"/>
      <c r="J109" s="474"/>
      <c r="K109" s="474"/>
      <c r="L109" s="474"/>
      <c r="M109" s="474"/>
      <c r="N109" s="474"/>
      <c r="O109" s="474"/>
      <c r="P109" s="474"/>
      <c r="Q109" s="474"/>
      <c r="R109" s="474"/>
      <c r="S109" s="474"/>
      <c r="T109" s="474"/>
      <c r="U109" s="474"/>
    </row>
    <row r="110" spans="1:21" ht="15" customHeight="1">
      <c r="A110" s="484"/>
      <c r="B110" s="497" t="s">
        <v>373</v>
      </c>
      <c r="C110" s="497"/>
      <c r="D110" s="497"/>
      <c r="E110" s="497"/>
      <c r="F110" s="497"/>
      <c r="G110" s="497"/>
      <c r="H110" s="518" t="s">
        <v>1897</v>
      </c>
      <c r="I110" s="519"/>
      <c r="J110" s="519"/>
      <c r="K110" s="519"/>
      <c r="L110" s="519"/>
      <c r="M110" s="519"/>
      <c r="N110" s="519"/>
      <c r="O110" s="519"/>
      <c r="P110" s="519"/>
      <c r="Q110" s="519"/>
      <c r="R110" s="519"/>
      <c r="S110" s="519"/>
      <c r="T110" s="519"/>
      <c r="U110" s="519"/>
    </row>
    <row r="111" spans="1:21">
      <c r="A111" s="484"/>
      <c r="B111" s="497"/>
      <c r="C111" s="497"/>
      <c r="D111" s="497"/>
      <c r="E111" s="497"/>
      <c r="F111" s="497"/>
      <c r="G111" s="497"/>
      <c r="H111" s="519"/>
      <c r="I111" s="519"/>
      <c r="J111" s="519"/>
      <c r="K111" s="519"/>
      <c r="L111" s="519"/>
      <c r="M111" s="519"/>
      <c r="N111" s="519"/>
      <c r="O111" s="519"/>
      <c r="P111" s="519"/>
      <c r="Q111" s="519"/>
      <c r="R111" s="519"/>
      <c r="S111" s="519"/>
      <c r="T111" s="519"/>
      <c r="U111" s="519"/>
    </row>
    <row r="112" spans="1:21">
      <c r="A112" s="484"/>
      <c r="B112" s="517"/>
      <c r="C112" s="517"/>
      <c r="D112" s="517"/>
      <c r="E112" s="517"/>
      <c r="F112" s="517"/>
      <c r="G112" s="517"/>
      <c r="H112" s="519"/>
      <c r="I112" s="519"/>
      <c r="J112" s="519"/>
      <c r="K112" s="519"/>
      <c r="L112" s="519"/>
      <c r="M112" s="519"/>
      <c r="N112" s="519"/>
      <c r="O112" s="519"/>
      <c r="P112" s="519"/>
      <c r="Q112" s="519"/>
      <c r="R112" s="519"/>
      <c r="S112" s="519"/>
      <c r="T112" s="519"/>
      <c r="U112" s="519"/>
    </row>
    <row r="113" spans="1:21">
      <c r="A113" s="484"/>
      <c r="B113" s="517"/>
      <c r="C113" s="517"/>
      <c r="D113" s="517"/>
      <c r="E113" s="517"/>
      <c r="F113" s="517"/>
      <c r="G113" s="517"/>
      <c r="H113" s="519"/>
      <c r="I113" s="519"/>
      <c r="J113" s="519"/>
      <c r="K113" s="519"/>
      <c r="L113" s="519"/>
      <c r="M113" s="519"/>
      <c r="N113" s="519"/>
      <c r="O113" s="519"/>
      <c r="P113" s="519"/>
      <c r="Q113" s="519"/>
      <c r="R113" s="519"/>
      <c r="S113" s="519"/>
      <c r="T113" s="519"/>
      <c r="U113" s="519"/>
    </row>
    <row r="114" spans="1:21">
      <c r="A114" s="484"/>
      <c r="B114" s="517"/>
      <c r="C114" s="517"/>
      <c r="D114" s="517"/>
      <c r="E114" s="517"/>
      <c r="F114" s="517"/>
      <c r="G114" s="517"/>
      <c r="H114" s="519"/>
      <c r="I114" s="519"/>
      <c r="J114" s="519"/>
      <c r="K114" s="519"/>
      <c r="L114" s="519"/>
      <c r="M114" s="519"/>
      <c r="N114" s="519"/>
      <c r="O114" s="519"/>
      <c r="P114" s="519"/>
      <c r="Q114" s="519"/>
      <c r="R114" s="519"/>
      <c r="S114" s="519"/>
      <c r="T114" s="519"/>
      <c r="U114" s="519"/>
    </row>
    <row r="115" spans="1:21">
      <c r="A115" s="484"/>
      <c r="B115" s="517"/>
      <c r="C115" s="517"/>
      <c r="D115" s="517"/>
      <c r="E115" s="517"/>
      <c r="F115" s="517"/>
      <c r="G115" s="517"/>
      <c r="H115" s="519"/>
      <c r="I115" s="519"/>
      <c r="J115" s="519"/>
      <c r="K115" s="519"/>
      <c r="L115" s="519"/>
      <c r="M115" s="519"/>
      <c r="N115" s="519"/>
      <c r="O115" s="519"/>
      <c r="P115" s="519"/>
      <c r="Q115" s="519"/>
      <c r="R115" s="519"/>
      <c r="S115" s="519"/>
      <c r="T115" s="519"/>
      <c r="U115" s="519"/>
    </row>
    <row r="116" spans="1:21">
      <c r="A116" s="484"/>
      <c r="B116" s="517"/>
      <c r="C116" s="517"/>
      <c r="D116" s="517"/>
      <c r="E116" s="517"/>
      <c r="F116" s="517"/>
      <c r="G116" s="517"/>
      <c r="H116" s="519"/>
      <c r="I116" s="519"/>
      <c r="J116" s="519"/>
      <c r="K116" s="519"/>
      <c r="L116" s="519"/>
      <c r="M116" s="519"/>
      <c r="N116" s="519"/>
      <c r="O116" s="519"/>
      <c r="P116" s="519"/>
      <c r="Q116" s="519"/>
      <c r="R116" s="519"/>
      <c r="S116" s="519"/>
      <c r="T116" s="519"/>
      <c r="U116" s="519"/>
    </row>
    <row r="117" spans="1:21">
      <c r="A117" s="484"/>
      <c r="B117" s="497"/>
      <c r="C117" s="497"/>
      <c r="D117" s="497"/>
      <c r="E117" s="497"/>
      <c r="F117" s="497"/>
      <c r="G117" s="497"/>
      <c r="H117" s="519"/>
      <c r="I117" s="519"/>
      <c r="J117" s="519"/>
      <c r="K117" s="519"/>
      <c r="L117" s="519"/>
      <c r="M117" s="519"/>
      <c r="N117" s="519"/>
      <c r="O117" s="519"/>
      <c r="P117" s="519"/>
      <c r="Q117" s="519"/>
      <c r="R117" s="519"/>
      <c r="S117" s="519"/>
      <c r="T117" s="519"/>
      <c r="U117" s="519"/>
    </row>
    <row r="118" spans="1:21">
      <c r="A118" s="484"/>
      <c r="B118" s="497"/>
      <c r="C118" s="497"/>
      <c r="D118" s="497"/>
      <c r="E118" s="497"/>
      <c r="F118" s="497"/>
      <c r="G118" s="497"/>
      <c r="H118" s="519"/>
      <c r="I118" s="519"/>
      <c r="J118" s="519"/>
      <c r="K118" s="519"/>
      <c r="L118" s="519"/>
      <c r="M118" s="519"/>
      <c r="N118" s="519"/>
      <c r="O118" s="519"/>
      <c r="P118" s="519"/>
      <c r="Q118" s="519"/>
      <c r="R118" s="519"/>
      <c r="S118" s="519"/>
      <c r="T118" s="519"/>
      <c r="U118" s="519"/>
    </row>
    <row r="119" spans="1:21" ht="137.25" customHeight="1">
      <c r="A119" s="484"/>
      <c r="B119" s="497"/>
      <c r="C119" s="497"/>
      <c r="D119" s="497"/>
      <c r="E119" s="497"/>
      <c r="F119" s="497"/>
      <c r="G119" s="497"/>
      <c r="H119" s="519"/>
      <c r="I119" s="519"/>
      <c r="J119" s="519"/>
      <c r="K119" s="519"/>
      <c r="L119" s="519"/>
      <c r="M119" s="519"/>
      <c r="N119" s="519"/>
      <c r="O119" s="519"/>
      <c r="P119" s="519"/>
      <c r="Q119" s="519"/>
      <c r="R119" s="519"/>
      <c r="S119" s="519"/>
      <c r="T119" s="519"/>
      <c r="U119" s="519"/>
    </row>
    <row r="120" spans="1:21" ht="15" customHeight="1">
      <c r="A120" s="484"/>
      <c r="B120" s="497" t="s">
        <v>374</v>
      </c>
      <c r="C120" s="497"/>
      <c r="D120" s="497"/>
      <c r="E120" s="497"/>
      <c r="F120" s="497"/>
      <c r="G120" s="497"/>
      <c r="H120" s="527" t="s">
        <v>1895</v>
      </c>
      <c r="I120" s="528"/>
      <c r="J120" s="528"/>
      <c r="K120" s="528"/>
      <c r="L120" s="528"/>
      <c r="M120" s="528"/>
      <c r="N120" s="528"/>
      <c r="O120" s="528"/>
      <c r="P120" s="528"/>
      <c r="Q120" s="528"/>
      <c r="R120" s="528"/>
      <c r="S120" s="528"/>
      <c r="T120" s="528"/>
      <c r="U120" s="528"/>
    </row>
    <row r="121" spans="1:21">
      <c r="A121" s="484"/>
      <c r="B121" s="497"/>
      <c r="C121" s="497"/>
      <c r="D121" s="497"/>
      <c r="E121" s="497"/>
      <c r="F121" s="497"/>
      <c r="G121" s="497"/>
      <c r="H121" s="528"/>
      <c r="I121" s="528"/>
      <c r="J121" s="528"/>
      <c r="K121" s="528"/>
      <c r="L121" s="528"/>
      <c r="M121" s="528"/>
      <c r="N121" s="528"/>
      <c r="O121" s="528"/>
      <c r="P121" s="528"/>
      <c r="Q121" s="528"/>
      <c r="R121" s="528"/>
      <c r="S121" s="528"/>
      <c r="T121" s="528"/>
      <c r="U121" s="528"/>
    </row>
    <row r="122" spans="1:21">
      <c r="A122" s="484"/>
      <c r="B122" s="517"/>
      <c r="C122" s="517"/>
      <c r="D122" s="517"/>
      <c r="E122" s="517"/>
      <c r="F122" s="517"/>
      <c r="G122" s="517"/>
      <c r="H122" s="528"/>
      <c r="I122" s="528"/>
      <c r="J122" s="528"/>
      <c r="K122" s="528"/>
      <c r="L122" s="528"/>
      <c r="M122" s="528"/>
      <c r="N122" s="528"/>
      <c r="O122" s="528"/>
      <c r="P122" s="528"/>
      <c r="Q122" s="528"/>
      <c r="R122" s="528"/>
      <c r="S122" s="528"/>
      <c r="T122" s="528"/>
      <c r="U122" s="528"/>
    </row>
    <row r="123" spans="1:21">
      <c r="A123" s="484"/>
      <c r="B123" s="517"/>
      <c r="C123" s="517"/>
      <c r="D123" s="517"/>
      <c r="E123" s="517"/>
      <c r="F123" s="517"/>
      <c r="G123" s="517"/>
      <c r="H123" s="528"/>
      <c r="I123" s="528"/>
      <c r="J123" s="528"/>
      <c r="K123" s="528"/>
      <c r="L123" s="528"/>
      <c r="M123" s="528"/>
      <c r="N123" s="528"/>
      <c r="O123" s="528"/>
      <c r="P123" s="528"/>
      <c r="Q123" s="528"/>
      <c r="R123" s="528"/>
      <c r="S123" s="528"/>
      <c r="T123" s="528"/>
      <c r="U123" s="528"/>
    </row>
    <row r="124" spans="1:21">
      <c r="A124" s="484"/>
      <c r="B124" s="497"/>
      <c r="C124" s="497"/>
      <c r="D124" s="497"/>
      <c r="E124" s="497"/>
      <c r="F124" s="497"/>
      <c r="G124" s="497"/>
      <c r="H124" s="528"/>
      <c r="I124" s="528"/>
      <c r="J124" s="528"/>
      <c r="K124" s="528"/>
      <c r="L124" s="528"/>
      <c r="M124" s="528"/>
      <c r="N124" s="528"/>
      <c r="O124" s="528"/>
      <c r="P124" s="528"/>
      <c r="Q124" s="528"/>
      <c r="R124" s="528"/>
      <c r="S124" s="528"/>
      <c r="T124" s="528"/>
      <c r="U124" s="528"/>
    </row>
    <row r="125" spans="1:21">
      <c r="A125" s="484"/>
      <c r="B125" s="497"/>
      <c r="C125" s="497"/>
      <c r="D125" s="497"/>
      <c r="E125" s="497"/>
      <c r="F125" s="497"/>
      <c r="G125" s="497"/>
      <c r="H125" s="528"/>
      <c r="I125" s="528"/>
      <c r="J125" s="528"/>
      <c r="K125" s="528"/>
      <c r="L125" s="528"/>
      <c r="M125" s="528"/>
      <c r="N125" s="528"/>
      <c r="O125" s="528"/>
      <c r="P125" s="528"/>
      <c r="Q125" s="528"/>
      <c r="R125" s="528"/>
      <c r="S125" s="528"/>
      <c r="T125" s="528"/>
      <c r="U125" s="528"/>
    </row>
    <row r="126" spans="1:21">
      <c r="A126" s="484"/>
      <c r="B126" s="497"/>
      <c r="C126" s="497"/>
      <c r="D126" s="497"/>
      <c r="E126" s="497"/>
      <c r="F126" s="497"/>
      <c r="G126" s="497"/>
      <c r="H126" s="528"/>
      <c r="I126" s="528"/>
      <c r="J126" s="528"/>
      <c r="K126" s="528"/>
      <c r="L126" s="528"/>
      <c r="M126" s="528"/>
      <c r="N126" s="528"/>
      <c r="O126" s="528"/>
      <c r="P126" s="528"/>
      <c r="Q126" s="528"/>
      <c r="R126" s="528"/>
      <c r="S126" s="528"/>
      <c r="T126" s="528"/>
      <c r="U126" s="528"/>
    </row>
    <row r="127" spans="1:21" ht="15" customHeight="1">
      <c r="A127" s="484"/>
      <c r="B127" s="497" t="s">
        <v>375</v>
      </c>
      <c r="C127" s="497"/>
      <c r="D127" s="497"/>
      <c r="E127" s="497"/>
      <c r="F127" s="497"/>
      <c r="G127" s="497"/>
      <c r="H127" s="527" t="s">
        <v>1899</v>
      </c>
      <c r="I127" s="528"/>
      <c r="J127" s="528"/>
      <c r="K127" s="528"/>
      <c r="L127" s="528"/>
      <c r="M127" s="528"/>
      <c r="N127" s="528"/>
      <c r="O127" s="528"/>
      <c r="P127" s="528"/>
      <c r="Q127" s="528"/>
      <c r="R127" s="528"/>
      <c r="S127" s="528"/>
      <c r="T127" s="528"/>
      <c r="U127" s="528"/>
    </row>
    <row r="128" spans="1:21">
      <c r="A128" s="484"/>
      <c r="B128" s="497"/>
      <c r="C128" s="497"/>
      <c r="D128" s="497"/>
      <c r="E128" s="497"/>
      <c r="F128" s="497"/>
      <c r="G128" s="497"/>
      <c r="H128" s="528"/>
      <c r="I128" s="528"/>
      <c r="J128" s="528"/>
      <c r="K128" s="528"/>
      <c r="L128" s="528"/>
      <c r="M128" s="528"/>
      <c r="N128" s="528"/>
      <c r="O128" s="528"/>
      <c r="P128" s="528"/>
      <c r="Q128" s="528"/>
      <c r="R128" s="528"/>
      <c r="S128" s="528"/>
      <c r="T128" s="528"/>
      <c r="U128" s="528"/>
    </row>
    <row r="129" spans="1:21">
      <c r="A129" s="484"/>
      <c r="B129" s="497"/>
      <c r="C129" s="497"/>
      <c r="D129" s="497"/>
      <c r="E129" s="497"/>
      <c r="F129" s="497"/>
      <c r="G129" s="497"/>
      <c r="H129" s="528"/>
      <c r="I129" s="528"/>
      <c r="J129" s="528"/>
      <c r="K129" s="528"/>
      <c r="L129" s="528"/>
      <c r="M129" s="528"/>
      <c r="N129" s="528"/>
      <c r="O129" s="528"/>
      <c r="P129" s="528"/>
      <c r="Q129" s="528"/>
      <c r="R129" s="528"/>
      <c r="S129" s="528"/>
      <c r="T129" s="528"/>
      <c r="U129" s="528"/>
    </row>
    <row r="130" spans="1:21">
      <c r="A130" s="484"/>
      <c r="B130" s="497"/>
      <c r="C130" s="497"/>
      <c r="D130" s="497"/>
      <c r="E130" s="497"/>
      <c r="F130" s="497"/>
      <c r="G130" s="497"/>
      <c r="H130" s="528"/>
      <c r="I130" s="528"/>
      <c r="J130" s="528"/>
      <c r="K130" s="528"/>
      <c r="L130" s="528"/>
      <c r="M130" s="528"/>
      <c r="N130" s="528"/>
      <c r="O130" s="528"/>
      <c r="P130" s="528"/>
      <c r="Q130" s="528"/>
      <c r="R130" s="528"/>
      <c r="S130" s="528"/>
      <c r="T130" s="528"/>
      <c r="U130" s="528"/>
    </row>
    <row r="131" spans="1:21" ht="75.75" customHeight="1">
      <c r="A131" s="484"/>
      <c r="B131" s="497"/>
      <c r="C131" s="497"/>
      <c r="D131" s="497"/>
      <c r="E131" s="497"/>
      <c r="F131" s="497"/>
      <c r="G131" s="497"/>
      <c r="H131" s="528"/>
      <c r="I131" s="528"/>
      <c r="J131" s="528"/>
      <c r="K131" s="528"/>
      <c r="L131" s="528"/>
      <c r="M131" s="528"/>
      <c r="N131" s="528"/>
      <c r="O131" s="528"/>
      <c r="P131" s="528"/>
      <c r="Q131" s="528"/>
      <c r="R131" s="528"/>
      <c r="S131" s="528"/>
      <c r="T131" s="528"/>
      <c r="U131" s="528"/>
    </row>
    <row r="132" spans="1:21" ht="15" customHeight="1">
      <c r="A132" s="484"/>
      <c r="B132" s="497" t="s">
        <v>1712</v>
      </c>
      <c r="C132" s="497"/>
      <c r="D132" s="497"/>
      <c r="E132" s="497"/>
      <c r="F132" s="497"/>
      <c r="G132" s="497"/>
      <c r="H132" s="527" t="s">
        <v>1896</v>
      </c>
      <c r="I132" s="528"/>
      <c r="J132" s="528"/>
      <c r="K132" s="528"/>
      <c r="L132" s="528"/>
      <c r="M132" s="528"/>
      <c r="N132" s="528"/>
      <c r="O132" s="528"/>
      <c r="P132" s="528"/>
      <c r="Q132" s="528"/>
      <c r="R132" s="528"/>
      <c r="S132" s="528"/>
      <c r="T132" s="528"/>
      <c r="U132" s="528"/>
    </row>
    <row r="133" spans="1:21">
      <c r="A133" s="484"/>
      <c r="B133" s="497"/>
      <c r="C133" s="497"/>
      <c r="D133" s="497"/>
      <c r="E133" s="497"/>
      <c r="F133" s="497"/>
      <c r="G133" s="497"/>
      <c r="H133" s="528"/>
      <c r="I133" s="528"/>
      <c r="J133" s="528"/>
      <c r="K133" s="528"/>
      <c r="L133" s="528"/>
      <c r="M133" s="528"/>
      <c r="N133" s="528"/>
      <c r="O133" s="528"/>
      <c r="P133" s="528"/>
      <c r="Q133" s="528"/>
      <c r="R133" s="528"/>
      <c r="S133" s="528"/>
      <c r="T133" s="528"/>
      <c r="U133" s="528"/>
    </row>
    <row r="134" spans="1:21">
      <c r="A134" s="484"/>
      <c r="B134" s="497"/>
      <c r="C134" s="497"/>
      <c r="D134" s="497"/>
      <c r="E134" s="497"/>
      <c r="F134" s="497"/>
      <c r="G134" s="497"/>
      <c r="H134" s="528"/>
      <c r="I134" s="528"/>
      <c r="J134" s="528"/>
      <c r="K134" s="528"/>
      <c r="L134" s="528"/>
      <c r="M134" s="528"/>
      <c r="N134" s="528"/>
      <c r="O134" s="528"/>
      <c r="P134" s="528"/>
      <c r="Q134" s="528"/>
      <c r="R134" s="528"/>
      <c r="S134" s="528"/>
      <c r="T134" s="528"/>
      <c r="U134" s="528"/>
    </row>
    <row r="135" spans="1:21">
      <c r="A135" s="484"/>
      <c r="B135" s="497"/>
      <c r="C135" s="497"/>
      <c r="D135" s="497"/>
      <c r="E135" s="497"/>
      <c r="F135" s="497"/>
      <c r="G135" s="497"/>
      <c r="H135" s="528"/>
      <c r="I135" s="528"/>
      <c r="J135" s="528"/>
      <c r="K135" s="528"/>
      <c r="L135" s="528"/>
      <c r="M135" s="528"/>
      <c r="N135" s="528"/>
      <c r="O135" s="528"/>
      <c r="P135" s="528"/>
      <c r="Q135" s="528"/>
      <c r="R135" s="528"/>
      <c r="S135" s="528"/>
      <c r="T135" s="528"/>
      <c r="U135" s="528"/>
    </row>
    <row r="136" spans="1:21">
      <c r="A136" s="484"/>
      <c r="B136" s="497"/>
      <c r="C136" s="497"/>
      <c r="D136" s="497"/>
      <c r="E136" s="497"/>
      <c r="F136" s="497"/>
      <c r="G136" s="497"/>
      <c r="H136" s="528"/>
      <c r="I136" s="528"/>
      <c r="J136" s="528"/>
      <c r="K136" s="528"/>
      <c r="L136" s="528"/>
      <c r="M136" s="528"/>
      <c r="N136" s="528"/>
      <c r="O136" s="528"/>
      <c r="P136" s="528"/>
      <c r="Q136" s="528"/>
      <c r="R136" s="528"/>
      <c r="S136" s="528"/>
      <c r="T136" s="528"/>
      <c r="U136" s="528"/>
    </row>
    <row r="137" spans="1:21" ht="15" customHeight="1">
      <c r="A137" s="484"/>
      <c r="B137" s="497" t="s">
        <v>1713</v>
      </c>
      <c r="C137" s="497"/>
      <c r="D137" s="497"/>
      <c r="E137" s="497"/>
      <c r="F137" s="497"/>
      <c r="G137" s="497"/>
      <c r="H137" s="809" t="s">
        <v>1900</v>
      </c>
      <c r="I137" s="810"/>
      <c r="J137" s="810"/>
      <c r="K137" s="810"/>
      <c r="L137" s="810"/>
      <c r="M137" s="810"/>
      <c r="N137" s="810"/>
      <c r="O137" s="810"/>
      <c r="P137" s="810"/>
      <c r="Q137" s="810"/>
      <c r="R137" s="810"/>
      <c r="S137" s="810"/>
      <c r="T137" s="810"/>
      <c r="U137" s="810"/>
    </row>
    <row r="138" spans="1:21">
      <c r="A138" s="484"/>
      <c r="B138" s="497"/>
      <c r="C138" s="497"/>
      <c r="D138" s="497"/>
      <c r="E138" s="497"/>
      <c r="F138" s="497"/>
      <c r="G138" s="497"/>
      <c r="H138" s="810"/>
      <c r="I138" s="810"/>
      <c r="J138" s="810"/>
      <c r="K138" s="810"/>
      <c r="L138" s="810"/>
      <c r="M138" s="810"/>
      <c r="N138" s="810"/>
      <c r="O138" s="810"/>
      <c r="P138" s="810"/>
      <c r="Q138" s="810"/>
      <c r="R138" s="810"/>
      <c r="S138" s="810"/>
      <c r="T138" s="810"/>
      <c r="U138" s="810"/>
    </row>
    <row r="139" spans="1:21">
      <c r="A139" s="484"/>
      <c r="B139" s="497"/>
      <c r="C139" s="497"/>
      <c r="D139" s="497"/>
      <c r="E139" s="497"/>
      <c r="F139" s="497"/>
      <c r="G139" s="497"/>
      <c r="H139" s="810"/>
      <c r="I139" s="810"/>
      <c r="J139" s="810"/>
      <c r="K139" s="810"/>
      <c r="L139" s="810"/>
      <c r="M139" s="810"/>
      <c r="N139" s="810"/>
      <c r="O139" s="810"/>
      <c r="P139" s="810"/>
      <c r="Q139" s="810"/>
      <c r="R139" s="810"/>
      <c r="S139" s="810"/>
      <c r="T139" s="810"/>
      <c r="U139" s="810"/>
    </row>
    <row r="140" spans="1:21">
      <c r="A140" s="484"/>
      <c r="B140" s="497"/>
      <c r="C140" s="497"/>
      <c r="D140" s="497"/>
      <c r="E140" s="497"/>
      <c r="F140" s="497"/>
      <c r="G140" s="497"/>
      <c r="H140" s="810"/>
      <c r="I140" s="810"/>
      <c r="J140" s="810"/>
      <c r="K140" s="810"/>
      <c r="L140" s="810"/>
      <c r="M140" s="810"/>
      <c r="N140" s="810"/>
      <c r="O140" s="810"/>
      <c r="P140" s="810"/>
      <c r="Q140" s="810"/>
      <c r="R140" s="810"/>
      <c r="S140" s="810"/>
      <c r="T140" s="810"/>
      <c r="U140" s="810"/>
    </row>
    <row r="141" spans="1:21">
      <c r="A141" s="485"/>
      <c r="B141" s="497"/>
      <c r="C141" s="497"/>
      <c r="D141" s="497"/>
      <c r="E141" s="497"/>
      <c r="F141" s="497"/>
      <c r="G141" s="497"/>
      <c r="H141" s="810"/>
      <c r="I141" s="810"/>
      <c r="J141" s="810"/>
      <c r="K141" s="810"/>
      <c r="L141" s="810"/>
      <c r="M141" s="810"/>
      <c r="N141" s="810"/>
      <c r="O141" s="810"/>
      <c r="P141" s="810"/>
      <c r="Q141" s="810"/>
      <c r="R141" s="810"/>
      <c r="S141" s="810"/>
      <c r="T141" s="810"/>
      <c r="U141" s="810"/>
    </row>
    <row r="142" spans="1:21" ht="15" customHeight="1">
      <c r="A142" s="486" t="s">
        <v>1750</v>
      </c>
      <c r="B142" s="497" t="s">
        <v>376</v>
      </c>
      <c r="C142" s="497"/>
      <c r="D142" s="497"/>
      <c r="E142" s="497"/>
      <c r="F142" s="497"/>
      <c r="G142" s="497"/>
      <c r="H142" s="475"/>
      <c r="I142" s="476"/>
      <c r="J142" s="476"/>
      <c r="K142" s="476"/>
      <c r="L142" s="476"/>
      <c r="M142" s="476"/>
      <c r="N142" s="476"/>
      <c r="O142" s="476"/>
      <c r="P142" s="476"/>
      <c r="Q142" s="476"/>
      <c r="R142" s="476"/>
      <c r="S142" s="476"/>
      <c r="T142" s="476"/>
      <c r="U142" s="476"/>
    </row>
    <row r="143" spans="1:21">
      <c r="A143" s="487"/>
      <c r="B143" s="497"/>
      <c r="C143" s="497"/>
      <c r="D143" s="497"/>
      <c r="E143" s="497"/>
      <c r="F143" s="497"/>
      <c r="G143" s="497"/>
      <c r="H143" s="476"/>
      <c r="I143" s="476"/>
      <c r="J143" s="476"/>
      <c r="K143" s="476"/>
      <c r="L143" s="476"/>
      <c r="M143" s="476"/>
      <c r="N143" s="476"/>
      <c r="O143" s="476"/>
      <c r="P143" s="476"/>
      <c r="Q143" s="476"/>
      <c r="R143" s="476"/>
      <c r="S143" s="476"/>
      <c r="T143" s="476"/>
      <c r="U143" s="476"/>
    </row>
    <row r="144" spans="1:21">
      <c r="A144" s="487"/>
      <c r="B144" s="517"/>
      <c r="C144" s="517"/>
      <c r="D144" s="517"/>
      <c r="E144" s="517"/>
      <c r="F144" s="517"/>
      <c r="G144" s="517"/>
      <c r="H144" s="476"/>
      <c r="I144" s="476"/>
      <c r="J144" s="476"/>
      <c r="K144" s="476"/>
      <c r="L144" s="476"/>
      <c r="M144" s="476"/>
      <c r="N144" s="476"/>
      <c r="O144" s="476"/>
      <c r="P144" s="476"/>
      <c r="Q144" s="476"/>
      <c r="R144" s="476"/>
      <c r="S144" s="476"/>
      <c r="T144" s="476"/>
      <c r="U144" s="476"/>
    </row>
    <row r="145" spans="1:21">
      <c r="A145" s="487"/>
      <c r="B145" s="517"/>
      <c r="C145" s="517"/>
      <c r="D145" s="517"/>
      <c r="E145" s="517"/>
      <c r="F145" s="517"/>
      <c r="G145" s="517"/>
      <c r="H145" s="476"/>
      <c r="I145" s="476"/>
      <c r="J145" s="476"/>
      <c r="K145" s="476"/>
      <c r="L145" s="476"/>
      <c r="M145" s="476"/>
      <c r="N145" s="476"/>
      <c r="O145" s="476"/>
      <c r="P145" s="476"/>
      <c r="Q145" s="476"/>
      <c r="R145" s="476"/>
      <c r="S145" s="476"/>
      <c r="T145" s="476"/>
      <c r="U145" s="476"/>
    </row>
    <row r="146" spans="1:21">
      <c r="A146" s="487"/>
      <c r="B146" s="517"/>
      <c r="C146" s="517"/>
      <c r="D146" s="517"/>
      <c r="E146" s="517"/>
      <c r="F146" s="517"/>
      <c r="G146" s="517"/>
      <c r="H146" s="476"/>
      <c r="I146" s="476"/>
      <c r="J146" s="476"/>
      <c r="K146" s="476"/>
      <c r="L146" s="476"/>
      <c r="M146" s="476"/>
      <c r="N146" s="476"/>
      <c r="O146" s="476"/>
      <c r="P146" s="476"/>
      <c r="Q146" s="476"/>
      <c r="R146" s="476"/>
      <c r="S146" s="476"/>
      <c r="T146" s="476"/>
      <c r="U146" s="476"/>
    </row>
    <row r="147" spans="1:21">
      <c r="A147" s="487"/>
      <c r="B147" s="517"/>
      <c r="C147" s="517"/>
      <c r="D147" s="517"/>
      <c r="E147" s="517"/>
      <c r="F147" s="517"/>
      <c r="G147" s="517"/>
      <c r="H147" s="476"/>
      <c r="I147" s="476"/>
      <c r="J147" s="476"/>
      <c r="K147" s="476"/>
      <c r="L147" s="476"/>
      <c r="M147" s="476"/>
      <c r="N147" s="476"/>
      <c r="O147" s="476"/>
      <c r="P147" s="476"/>
      <c r="Q147" s="476"/>
      <c r="R147" s="476"/>
      <c r="S147" s="476"/>
      <c r="T147" s="476"/>
      <c r="U147" s="476"/>
    </row>
    <row r="148" spans="1:21">
      <c r="A148" s="487"/>
      <c r="B148" s="517"/>
      <c r="C148" s="517"/>
      <c r="D148" s="517"/>
      <c r="E148" s="517"/>
      <c r="F148" s="517"/>
      <c r="G148" s="517"/>
      <c r="H148" s="476"/>
      <c r="I148" s="476"/>
      <c r="J148" s="476"/>
      <c r="K148" s="476"/>
      <c r="L148" s="476"/>
      <c r="M148" s="476"/>
      <c r="N148" s="476"/>
      <c r="O148" s="476"/>
      <c r="P148" s="476"/>
      <c r="Q148" s="476"/>
      <c r="R148" s="476"/>
      <c r="S148" s="476"/>
      <c r="T148" s="476"/>
      <c r="U148" s="476"/>
    </row>
    <row r="149" spans="1:21">
      <c r="A149" s="487"/>
      <c r="B149" s="517"/>
      <c r="C149" s="517"/>
      <c r="D149" s="517"/>
      <c r="E149" s="517"/>
      <c r="F149" s="517"/>
      <c r="G149" s="517"/>
      <c r="H149" s="476"/>
      <c r="I149" s="476"/>
      <c r="J149" s="476"/>
      <c r="K149" s="476"/>
      <c r="L149" s="476"/>
      <c r="M149" s="476"/>
      <c r="N149" s="476"/>
      <c r="O149" s="476"/>
      <c r="P149" s="476"/>
      <c r="Q149" s="476"/>
      <c r="R149" s="476"/>
      <c r="S149" s="476"/>
      <c r="T149" s="476"/>
      <c r="U149" s="476"/>
    </row>
    <row r="150" spans="1:21">
      <c r="A150" s="487"/>
      <c r="B150" s="497"/>
      <c r="C150" s="497"/>
      <c r="D150" s="497"/>
      <c r="E150" s="497"/>
      <c r="F150" s="497"/>
      <c r="G150" s="497"/>
      <c r="H150" s="476"/>
      <c r="I150" s="476"/>
      <c r="J150" s="476"/>
      <c r="K150" s="476"/>
      <c r="L150" s="476"/>
      <c r="M150" s="476"/>
      <c r="N150" s="476"/>
      <c r="O150" s="476"/>
      <c r="P150" s="476"/>
      <c r="Q150" s="476"/>
      <c r="R150" s="476"/>
      <c r="S150" s="476"/>
      <c r="T150" s="476"/>
      <c r="U150" s="476"/>
    </row>
    <row r="151" spans="1:21">
      <c r="A151" s="487"/>
      <c r="B151" s="497"/>
      <c r="C151" s="497"/>
      <c r="D151" s="497"/>
      <c r="E151" s="497"/>
      <c r="F151" s="497"/>
      <c r="G151" s="497"/>
      <c r="H151" s="476"/>
      <c r="I151" s="476"/>
      <c r="J151" s="476"/>
      <c r="K151" s="476"/>
      <c r="L151" s="476"/>
      <c r="M151" s="476"/>
      <c r="N151" s="476"/>
      <c r="O151" s="476"/>
      <c r="P151" s="476"/>
      <c r="Q151" s="476"/>
      <c r="R151" s="476"/>
      <c r="S151" s="476"/>
      <c r="T151" s="476"/>
      <c r="U151" s="476"/>
    </row>
    <row r="152" spans="1:21">
      <c r="A152" s="487"/>
      <c r="B152" s="497"/>
      <c r="C152" s="497"/>
      <c r="D152" s="497"/>
      <c r="E152" s="497"/>
      <c r="F152" s="497"/>
      <c r="G152" s="497"/>
      <c r="H152" s="476"/>
      <c r="I152" s="476"/>
      <c r="J152" s="476"/>
      <c r="K152" s="476"/>
      <c r="L152" s="476"/>
      <c r="M152" s="476"/>
      <c r="N152" s="476"/>
      <c r="O152" s="476"/>
      <c r="P152" s="476"/>
      <c r="Q152" s="476"/>
      <c r="R152" s="476"/>
      <c r="S152" s="476"/>
      <c r="T152" s="476"/>
      <c r="U152" s="476"/>
    </row>
    <row r="153" spans="1:21">
      <c r="A153" s="487"/>
      <c r="B153" s="497" t="s">
        <v>488</v>
      </c>
      <c r="C153" s="497"/>
      <c r="D153" s="497"/>
      <c r="E153" s="497"/>
      <c r="F153" s="497"/>
      <c r="G153" s="497"/>
      <c r="H153" s="558"/>
      <c r="I153" s="559"/>
      <c r="J153" s="559"/>
      <c r="K153" s="559"/>
      <c r="L153" s="559"/>
      <c r="M153" s="559"/>
      <c r="N153" s="559"/>
      <c r="O153" s="559"/>
      <c r="P153" s="559"/>
      <c r="Q153" s="559"/>
      <c r="R153" s="559"/>
      <c r="S153" s="559"/>
      <c r="T153" s="559"/>
      <c r="U153" s="559"/>
    </row>
    <row r="154" spans="1:21">
      <c r="A154" s="487"/>
      <c r="B154" s="517"/>
      <c r="C154" s="517"/>
      <c r="D154" s="517"/>
      <c r="E154" s="517"/>
      <c r="F154" s="517"/>
      <c r="G154" s="517"/>
      <c r="H154" s="558"/>
      <c r="I154" s="559"/>
      <c r="J154" s="559"/>
      <c r="K154" s="559"/>
      <c r="L154" s="559"/>
      <c r="M154" s="559"/>
      <c r="N154" s="559"/>
      <c r="O154" s="559"/>
      <c r="P154" s="559"/>
      <c r="Q154" s="559"/>
      <c r="R154" s="559"/>
      <c r="S154" s="559"/>
      <c r="T154" s="559"/>
      <c r="U154" s="559"/>
    </row>
    <row r="155" spans="1:21">
      <c r="A155" s="487"/>
      <c r="B155" s="517"/>
      <c r="C155" s="517"/>
      <c r="D155" s="517"/>
      <c r="E155" s="517"/>
      <c r="F155" s="517"/>
      <c r="G155" s="517"/>
      <c r="H155" s="558"/>
      <c r="I155" s="559"/>
      <c r="J155" s="559"/>
      <c r="K155" s="559"/>
      <c r="L155" s="559"/>
      <c r="M155" s="559"/>
      <c r="N155" s="559"/>
      <c r="O155" s="559"/>
      <c r="P155" s="559"/>
      <c r="Q155" s="559"/>
      <c r="R155" s="559"/>
      <c r="S155" s="559"/>
      <c r="T155" s="559"/>
      <c r="U155" s="559"/>
    </row>
    <row r="156" spans="1:21">
      <c r="A156" s="487"/>
      <c r="B156" s="517"/>
      <c r="C156" s="517"/>
      <c r="D156" s="517"/>
      <c r="E156" s="517"/>
      <c r="F156" s="517"/>
      <c r="G156" s="517"/>
      <c r="H156" s="558"/>
      <c r="I156" s="559"/>
      <c r="J156" s="559"/>
      <c r="K156" s="559"/>
      <c r="L156" s="559"/>
      <c r="M156" s="559"/>
      <c r="N156" s="559"/>
      <c r="O156" s="559"/>
      <c r="P156" s="559"/>
      <c r="Q156" s="559"/>
      <c r="R156" s="559"/>
      <c r="S156" s="559"/>
      <c r="T156" s="559"/>
      <c r="U156" s="559"/>
    </row>
    <row r="157" spans="1:21">
      <c r="A157" s="487"/>
      <c r="B157" s="517"/>
      <c r="C157" s="517"/>
      <c r="D157" s="517"/>
      <c r="E157" s="517"/>
      <c r="F157" s="517"/>
      <c r="G157" s="517"/>
      <c r="H157" s="558"/>
      <c r="I157" s="559"/>
      <c r="J157" s="559"/>
      <c r="K157" s="559"/>
      <c r="L157" s="559"/>
      <c r="M157" s="559"/>
      <c r="N157" s="559"/>
      <c r="O157" s="559"/>
      <c r="P157" s="559"/>
      <c r="Q157" s="559"/>
      <c r="R157" s="559"/>
      <c r="S157" s="559"/>
      <c r="T157" s="559"/>
      <c r="U157" s="559"/>
    </row>
    <row r="158" spans="1:21">
      <c r="A158" s="487"/>
      <c r="B158" s="497"/>
      <c r="C158" s="497"/>
      <c r="D158" s="497"/>
      <c r="E158" s="497"/>
      <c r="F158" s="497"/>
      <c r="G158" s="497"/>
      <c r="H158" s="559"/>
      <c r="I158" s="559"/>
      <c r="J158" s="559"/>
      <c r="K158" s="559"/>
      <c r="L158" s="559"/>
      <c r="M158" s="559"/>
      <c r="N158" s="559"/>
      <c r="O158" s="559"/>
      <c r="P158" s="559"/>
      <c r="Q158" s="559"/>
      <c r="R158" s="559"/>
      <c r="S158" s="559"/>
      <c r="T158" s="559"/>
      <c r="U158" s="559"/>
    </row>
    <row r="159" spans="1:21">
      <c r="A159" s="487"/>
      <c r="B159" s="497"/>
      <c r="C159" s="497"/>
      <c r="D159" s="497"/>
      <c r="E159" s="497"/>
      <c r="F159" s="497"/>
      <c r="G159" s="497"/>
      <c r="H159" s="559"/>
      <c r="I159" s="559"/>
      <c r="J159" s="559"/>
      <c r="K159" s="559"/>
      <c r="L159" s="559"/>
      <c r="M159" s="559"/>
      <c r="N159" s="559"/>
      <c r="O159" s="559"/>
      <c r="P159" s="559"/>
      <c r="Q159" s="559"/>
      <c r="R159" s="559"/>
      <c r="S159" s="559"/>
      <c r="T159" s="559"/>
      <c r="U159" s="559"/>
    </row>
    <row r="160" spans="1:21">
      <c r="A160" s="487"/>
      <c r="B160" s="497"/>
      <c r="C160" s="497"/>
      <c r="D160" s="497"/>
      <c r="E160" s="497"/>
      <c r="F160" s="497"/>
      <c r="G160" s="497"/>
      <c r="H160" s="559"/>
      <c r="I160" s="559"/>
      <c r="J160" s="559"/>
      <c r="K160" s="559"/>
      <c r="L160" s="559"/>
      <c r="M160" s="559"/>
      <c r="N160" s="559"/>
      <c r="O160" s="559"/>
      <c r="P160" s="559"/>
      <c r="Q160" s="559"/>
      <c r="R160" s="559"/>
      <c r="S160" s="559"/>
      <c r="T160" s="559"/>
      <c r="U160" s="559"/>
    </row>
    <row r="161" spans="1:22">
      <c r="A161" s="487"/>
      <c r="B161" s="497"/>
      <c r="C161" s="497"/>
      <c r="D161" s="497"/>
      <c r="E161" s="497"/>
      <c r="F161" s="497"/>
      <c r="G161" s="497"/>
      <c r="H161" s="559"/>
      <c r="I161" s="559"/>
      <c r="J161" s="559"/>
      <c r="K161" s="559"/>
      <c r="L161" s="559"/>
      <c r="M161" s="559"/>
      <c r="N161" s="559"/>
      <c r="O161" s="559"/>
      <c r="P161" s="559"/>
      <c r="Q161" s="559"/>
      <c r="R161" s="559"/>
      <c r="S161" s="559"/>
      <c r="T161" s="559"/>
      <c r="U161" s="559"/>
    </row>
    <row r="162" spans="1:22" ht="15" customHeight="1">
      <c r="A162" s="487"/>
      <c r="B162" s="497" t="s">
        <v>489</v>
      </c>
      <c r="C162" s="497"/>
      <c r="D162" s="497"/>
      <c r="E162" s="497"/>
      <c r="F162" s="497"/>
      <c r="G162" s="497"/>
      <c r="H162" s="473"/>
      <c r="I162" s="474"/>
      <c r="J162" s="474"/>
      <c r="K162" s="474"/>
      <c r="L162" s="474"/>
      <c r="M162" s="474"/>
      <c r="N162" s="474"/>
      <c r="O162" s="474"/>
      <c r="P162" s="474"/>
      <c r="Q162" s="474"/>
      <c r="R162" s="474"/>
      <c r="S162" s="474"/>
      <c r="T162" s="474"/>
      <c r="U162" s="474"/>
    </row>
    <row r="163" spans="1:22" ht="15" customHeight="1">
      <c r="A163" s="487"/>
      <c r="B163" s="517"/>
      <c r="C163" s="517"/>
      <c r="D163" s="517"/>
      <c r="E163" s="517"/>
      <c r="F163" s="517"/>
      <c r="G163" s="517"/>
      <c r="H163" s="473"/>
      <c r="I163" s="474"/>
      <c r="J163" s="474"/>
      <c r="K163" s="474"/>
      <c r="L163" s="474"/>
      <c r="M163" s="474"/>
      <c r="N163" s="474"/>
      <c r="O163" s="474"/>
      <c r="P163" s="474"/>
      <c r="Q163" s="474"/>
      <c r="R163" s="474"/>
      <c r="S163" s="474"/>
      <c r="T163" s="474"/>
      <c r="U163" s="474"/>
    </row>
    <row r="164" spans="1:22" ht="15" customHeight="1">
      <c r="A164" s="487"/>
      <c r="B164" s="517"/>
      <c r="C164" s="517"/>
      <c r="D164" s="517"/>
      <c r="E164" s="517"/>
      <c r="F164" s="517"/>
      <c r="G164" s="517"/>
      <c r="H164" s="473"/>
      <c r="I164" s="474"/>
      <c r="J164" s="474"/>
      <c r="K164" s="474"/>
      <c r="L164" s="474"/>
      <c r="M164" s="474"/>
      <c r="N164" s="474"/>
      <c r="O164" s="474"/>
      <c r="P164" s="474"/>
      <c r="Q164" s="474"/>
      <c r="R164" s="474"/>
      <c r="S164" s="474"/>
      <c r="T164" s="474"/>
      <c r="U164" s="474"/>
    </row>
    <row r="165" spans="1:22" ht="15" customHeight="1">
      <c r="A165" s="487"/>
      <c r="B165" s="517"/>
      <c r="C165" s="517"/>
      <c r="D165" s="517"/>
      <c r="E165" s="517"/>
      <c r="F165" s="517"/>
      <c r="G165" s="517"/>
      <c r="H165" s="473"/>
      <c r="I165" s="474"/>
      <c r="J165" s="474"/>
      <c r="K165" s="474"/>
      <c r="L165" s="474"/>
      <c r="M165" s="474"/>
      <c r="N165" s="474"/>
      <c r="O165" s="474"/>
      <c r="P165" s="474"/>
      <c r="Q165" s="474"/>
      <c r="R165" s="474"/>
      <c r="S165" s="474"/>
      <c r="T165" s="474"/>
      <c r="U165" s="474"/>
    </row>
    <row r="166" spans="1:22">
      <c r="A166" s="487"/>
      <c r="B166" s="497"/>
      <c r="C166" s="497"/>
      <c r="D166" s="497"/>
      <c r="E166" s="497"/>
      <c r="F166" s="497"/>
      <c r="G166" s="497"/>
      <c r="H166" s="474"/>
      <c r="I166" s="474"/>
      <c r="J166" s="474"/>
      <c r="K166" s="474"/>
      <c r="L166" s="474"/>
      <c r="M166" s="474"/>
      <c r="N166" s="474"/>
      <c r="O166" s="474"/>
      <c r="P166" s="474"/>
      <c r="Q166" s="474"/>
      <c r="R166" s="474"/>
      <c r="S166" s="474"/>
      <c r="T166" s="474"/>
      <c r="U166" s="474"/>
    </row>
    <row r="167" spans="1:22">
      <c r="A167" s="487"/>
      <c r="B167" s="497"/>
      <c r="C167" s="497"/>
      <c r="D167" s="497"/>
      <c r="E167" s="497"/>
      <c r="F167" s="497"/>
      <c r="G167" s="497"/>
      <c r="H167" s="474"/>
      <c r="I167" s="474"/>
      <c r="J167" s="474"/>
      <c r="K167" s="474"/>
      <c r="L167" s="474"/>
      <c r="M167" s="474"/>
      <c r="N167" s="474"/>
      <c r="O167" s="474"/>
      <c r="P167" s="474"/>
      <c r="Q167" s="474"/>
      <c r="R167" s="474"/>
      <c r="S167" s="474"/>
      <c r="T167" s="474"/>
      <c r="U167" s="474"/>
    </row>
    <row r="168" spans="1:22">
      <c r="A168" s="487"/>
      <c r="B168" s="497"/>
      <c r="C168" s="497"/>
      <c r="D168" s="497"/>
      <c r="E168" s="497"/>
      <c r="F168" s="497"/>
      <c r="G168" s="497"/>
      <c r="H168" s="474"/>
      <c r="I168" s="474"/>
      <c r="J168" s="474"/>
      <c r="K168" s="474"/>
      <c r="L168" s="474"/>
      <c r="M168" s="474"/>
      <c r="N168" s="474"/>
      <c r="O168" s="474"/>
      <c r="P168" s="474"/>
      <c r="Q168" s="474"/>
      <c r="R168" s="474"/>
      <c r="S168" s="474"/>
      <c r="T168" s="474"/>
      <c r="U168" s="474"/>
    </row>
    <row r="169" spans="1:22">
      <c r="A169" s="487"/>
      <c r="B169" s="497"/>
      <c r="C169" s="497"/>
      <c r="D169" s="497"/>
      <c r="E169" s="497"/>
      <c r="F169" s="497"/>
      <c r="G169" s="497"/>
      <c r="H169" s="474"/>
      <c r="I169" s="474"/>
      <c r="J169" s="474"/>
      <c r="K169" s="474"/>
      <c r="L169" s="474"/>
      <c r="M169" s="474"/>
      <c r="N169" s="474"/>
      <c r="O169" s="474"/>
      <c r="P169" s="474"/>
      <c r="Q169" s="474"/>
      <c r="R169" s="474"/>
      <c r="S169" s="474"/>
      <c r="T169" s="474"/>
      <c r="U169" s="474"/>
    </row>
    <row r="170" spans="1:22" ht="15" customHeight="1">
      <c r="A170" s="487"/>
      <c r="B170" s="497" t="s">
        <v>378</v>
      </c>
      <c r="C170" s="497"/>
      <c r="D170" s="497"/>
      <c r="E170" s="497"/>
      <c r="F170" s="497"/>
      <c r="G170" s="497"/>
      <c r="H170" s="473"/>
      <c r="I170" s="474"/>
      <c r="J170" s="474"/>
      <c r="K170" s="474"/>
      <c r="L170" s="474"/>
      <c r="M170" s="474"/>
      <c r="N170" s="474"/>
      <c r="O170" s="474"/>
      <c r="P170" s="474"/>
      <c r="Q170" s="474"/>
      <c r="R170" s="474"/>
      <c r="S170" s="474"/>
      <c r="T170" s="474"/>
      <c r="U170" s="474"/>
    </row>
    <row r="171" spans="1:22">
      <c r="A171" s="487"/>
      <c r="B171" s="497"/>
      <c r="C171" s="497"/>
      <c r="D171" s="497"/>
      <c r="E171" s="497"/>
      <c r="F171" s="497"/>
      <c r="G171" s="497"/>
      <c r="H171" s="474"/>
      <c r="I171" s="474"/>
      <c r="J171" s="474"/>
      <c r="K171" s="474"/>
      <c r="L171" s="474"/>
      <c r="M171" s="474"/>
      <c r="N171" s="474"/>
      <c r="O171" s="474"/>
      <c r="P171" s="474"/>
      <c r="Q171" s="474"/>
      <c r="R171" s="474"/>
      <c r="S171" s="474"/>
      <c r="T171" s="474"/>
      <c r="U171" s="474"/>
    </row>
    <row r="172" spans="1:22">
      <c r="A172" s="487"/>
      <c r="B172" s="497"/>
      <c r="C172" s="497"/>
      <c r="D172" s="497"/>
      <c r="E172" s="497"/>
      <c r="F172" s="497"/>
      <c r="G172" s="497"/>
      <c r="H172" s="474"/>
      <c r="I172" s="474"/>
      <c r="J172" s="474"/>
      <c r="K172" s="474"/>
      <c r="L172" s="474"/>
      <c r="M172" s="474"/>
      <c r="N172" s="474"/>
      <c r="O172" s="474"/>
      <c r="P172" s="474"/>
      <c r="Q172" s="474"/>
      <c r="R172" s="474"/>
      <c r="S172" s="474"/>
      <c r="T172" s="474"/>
      <c r="U172" s="474"/>
    </row>
    <row r="173" spans="1:22">
      <c r="A173" s="487"/>
      <c r="B173" s="497"/>
      <c r="C173" s="497"/>
      <c r="D173" s="497"/>
      <c r="E173" s="497"/>
      <c r="F173" s="497"/>
      <c r="G173" s="497"/>
      <c r="H173" s="474"/>
      <c r="I173" s="474"/>
      <c r="J173" s="474"/>
      <c r="K173" s="474"/>
      <c r="L173" s="474"/>
      <c r="M173" s="474"/>
      <c r="N173" s="474"/>
      <c r="O173" s="474"/>
      <c r="P173" s="474"/>
      <c r="Q173" s="474"/>
      <c r="R173" s="474"/>
      <c r="S173" s="474"/>
      <c r="T173" s="474"/>
      <c r="U173" s="474"/>
    </row>
    <row r="174" spans="1:22" ht="56.25" customHeight="1">
      <c r="A174" s="488"/>
      <c r="B174" s="497"/>
      <c r="C174" s="497"/>
      <c r="D174" s="497"/>
      <c r="E174" s="497"/>
      <c r="F174" s="497"/>
      <c r="G174" s="497"/>
      <c r="H174" s="474"/>
      <c r="I174" s="474"/>
      <c r="J174" s="474"/>
      <c r="K174" s="474"/>
      <c r="L174" s="474"/>
      <c r="M174" s="474"/>
      <c r="N174" s="474"/>
      <c r="O174" s="474"/>
      <c r="P174" s="474"/>
      <c r="Q174" s="474"/>
      <c r="R174" s="474"/>
      <c r="S174" s="474"/>
      <c r="T174" s="474"/>
      <c r="U174" s="474"/>
    </row>
    <row r="175" spans="1:22" s="83" customFormat="1" ht="20.100000000000001" customHeight="1">
      <c r="A175" s="477" t="s">
        <v>1750</v>
      </c>
      <c r="B175" s="509" t="s">
        <v>366</v>
      </c>
      <c r="C175" s="509"/>
      <c r="D175" s="509"/>
      <c r="E175" s="509"/>
      <c r="F175" s="509"/>
      <c r="G175" s="509"/>
      <c r="H175" s="509"/>
      <c r="I175" s="509"/>
      <c r="J175" s="509"/>
      <c r="K175" s="509"/>
      <c r="L175" s="509"/>
      <c r="M175" s="509"/>
      <c r="N175" s="509"/>
      <c r="O175" s="509"/>
      <c r="P175" s="509"/>
      <c r="Q175" s="509"/>
      <c r="R175" s="509"/>
      <c r="S175" s="509"/>
      <c r="T175" s="509"/>
      <c r="U175" s="509"/>
      <c r="V175" s="143"/>
    </row>
    <row r="176" spans="1:22" s="84" customFormat="1">
      <c r="A176" s="477"/>
      <c r="B176" s="521" t="s">
        <v>1901</v>
      </c>
      <c r="C176" s="522"/>
      <c r="D176" s="522"/>
      <c r="E176" s="522"/>
      <c r="F176" s="522"/>
      <c r="G176" s="522"/>
      <c r="H176" s="522"/>
      <c r="I176" s="522"/>
      <c r="J176" s="522"/>
      <c r="K176" s="522"/>
      <c r="L176" s="522"/>
      <c r="M176" s="522"/>
      <c r="N176" s="522"/>
      <c r="O176" s="522"/>
      <c r="P176" s="522"/>
      <c r="Q176" s="522"/>
      <c r="R176" s="522"/>
      <c r="S176" s="522"/>
      <c r="T176" s="522"/>
      <c r="U176" s="523"/>
      <c r="V176" s="143"/>
    </row>
    <row r="177" spans="1:22" s="84" customFormat="1">
      <c r="A177" s="477"/>
      <c r="B177" s="521" t="s">
        <v>1902</v>
      </c>
      <c r="C177" s="522"/>
      <c r="D177" s="522"/>
      <c r="E177" s="522"/>
      <c r="F177" s="522"/>
      <c r="G177" s="522"/>
      <c r="H177" s="522"/>
      <c r="I177" s="522"/>
      <c r="J177" s="522"/>
      <c r="K177" s="522"/>
      <c r="L177" s="522"/>
      <c r="M177" s="522"/>
      <c r="N177" s="522"/>
      <c r="O177" s="522"/>
      <c r="P177" s="522"/>
      <c r="Q177" s="522"/>
      <c r="R177" s="522"/>
      <c r="S177" s="522"/>
      <c r="T177" s="522"/>
      <c r="U177" s="523"/>
      <c r="V177" s="143"/>
    </row>
    <row r="178" spans="1:22" s="84" customFormat="1">
      <c r="A178" s="477"/>
      <c r="B178" s="521" t="s">
        <v>1903</v>
      </c>
      <c r="C178" s="522"/>
      <c r="D178" s="522"/>
      <c r="E178" s="522"/>
      <c r="F178" s="522"/>
      <c r="G178" s="522"/>
      <c r="H178" s="522"/>
      <c r="I178" s="522"/>
      <c r="J178" s="522"/>
      <c r="K178" s="522"/>
      <c r="L178" s="522"/>
      <c r="M178" s="522"/>
      <c r="N178" s="522"/>
      <c r="O178" s="522"/>
      <c r="P178" s="522"/>
      <c r="Q178" s="522"/>
      <c r="R178" s="522"/>
      <c r="S178" s="522"/>
      <c r="T178" s="522"/>
      <c r="U178" s="523"/>
      <c r="V178" s="143"/>
    </row>
    <row r="179" spans="1:22" s="84" customFormat="1">
      <c r="A179" s="477"/>
      <c r="B179" s="524"/>
      <c r="C179" s="525"/>
      <c r="D179" s="525"/>
      <c r="E179" s="525"/>
      <c r="F179" s="525"/>
      <c r="G179" s="525"/>
      <c r="H179" s="525"/>
      <c r="I179" s="525"/>
      <c r="J179" s="525"/>
      <c r="K179" s="525"/>
      <c r="L179" s="525"/>
      <c r="M179" s="525"/>
      <c r="N179" s="525"/>
      <c r="O179" s="525"/>
      <c r="P179" s="525"/>
      <c r="Q179" s="525"/>
      <c r="R179" s="525"/>
      <c r="S179" s="525"/>
      <c r="T179" s="525"/>
      <c r="U179" s="526"/>
      <c r="V179" s="143"/>
    </row>
    <row r="180" spans="1:22" s="84" customFormat="1">
      <c r="A180" s="477"/>
      <c r="B180" s="524"/>
      <c r="C180" s="525"/>
      <c r="D180" s="525"/>
      <c r="E180" s="525"/>
      <c r="F180" s="525"/>
      <c r="G180" s="525"/>
      <c r="H180" s="525"/>
      <c r="I180" s="525"/>
      <c r="J180" s="525"/>
      <c r="K180" s="525"/>
      <c r="L180" s="525"/>
      <c r="M180" s="525"/>
      <c r="N180" s="525"/>
      <c r="O180" s="525"/>
      <c r="P180" s="525"/>
      <c r="Q180" s="525"/>
      <c r="R180" s="525"/>
      <c r="S180" s="525"/>
      <c r="T180" s="525"/>
      <c r="U180" s="526"/>
      <c r="V180" s="143"/>
    </row>
    <row r="181" spans="1:22" s="84" customFormat="1">
      <c r="A181" s="477"/>
      <c r="B181" s="524"/>
      <c r="C181" s="525"/>
      <c r="D181" s="525"/>
      <c r="E181" s="525"/>
      <c r="F181" s="525"/>
      <c r="G181" s="525"/>
      <c r="H181" s="525"/>
      <c r="I181" s="525"/>
      <c r="J181" s="525"/>
      <c r="K181" s="525"/>
      <c r="L181" s="525"/>
      <c r="M181" s="525"/>
      <c r="N181" s="525"/>
      <c r="O181" s="525"/>
      <c r="P181" s="525"/>
      <c r="Q181" s="525"/>
      <c r="R181" s="525"/>
      <c r="S181" s="525"/>
      <c r="T181" s="525"/>
      <c r="U181" s="526"/>
      <c r="V181" s="143"/>
    </row>
    <row r="182" spans="1:22" s="84" customFormat="1">
      <c r="A182" s="477"/>
      <c r="B182" s="524"/>
      <c r="C182" s="525"/>
      <c r="D182" s="525"/>
      <c r="E182" s="525"/>
      <c r="F182" s="525"/>
      <c r="G182" s="525"/>
      <c r="H182" s="525"/>
      <c r="I182" s="525"/>
      <c r="J182" s="525"/>
      <c r="K182" s="525"/>
      <c r="L182" s="525"/>
      <c r="M182" s="525"/>
      <c r="N182" s="525"/>
      <c r="O182" s="525"/>
      <c r="P182" s="525"/>
      <c r="Q182" s="525"/>
      <c r="R182" s="525"/>
      <c r="S182" s="525"/>
      <c r="T182" s="525"/>
      <c r="U182" s="526"/>
      <c r="V182" s="143"/>
    </row>
    <row r="183" spans="1:22" s="84" customFormat="1" ht="15.75" customHeight="1">
      <c r="A183" s="477"/>
      <c r="B183" s="524"/>
      <c r="C183" s="525"/>
      <c r="D183" s="525"/>
      <c r="E183" s="525"/>
      <c r="F183" s="525"/>
      <c r="G183" s="525"/>
      <c r="H183" s="525"/>
      <c r="I183" s="525"/>
      <c r="J183" s="525"/>
      <c r="K183" s="525"/>
      <c r="L183" s="525"/>
      <c r="M183" s="525"/>
      <c r="N183" s="525"/>
      <c r="O183" s="525"/>
      <c r="P183" s="525"/>
      <c r="Q183" s="525"/>
      <c r="R183" s="525"/>
      <c r="S183" s="525"/>
      <c r="T183" s="525"/>
      <c r="U183" s="526"/>
      <c r="V183" s="142"/>
    </row>
    <row r="184" spans="1:22" s="84" customFormat="1" ht="15" customHeight="1">
      <c r="A184" s="477"/>
      <c r="B184" s="524"/>
      <c r="C184" s="525"/>
      <c r="D184" s="525"/>
      <c r="E184" s="525"/>
      <c r="F184" s="525"/>
      <c r="G184" s="525"/>
      <c r="H184" s="525"/>
      <c r="I184" s="525"/>
      <c r="J184" s="525"/>
      <c r="K184" s="525"/>
      <c r="L184" s="525"/>
      <c r="M184" s="525"/>
      <c r="N184" s="525"/>
      <c r="O184" s="525"/>
      <c r="P184" s="525"/>
      <c r="Q184" s="525"/>
      <c r="R184" s="525"/>
      <c r="S184" s="525"/>
      <c r="T184" s="525"/>
      <c r="U184" s="526"/>
      <c r="V184" s="143"/>
    </row>
    <row r="185" spans="1:22" s="84" customFormat="1" ht="15" customHeight="1">
      <c r="A185" s="477"/>
      <c r="B185" s="524"/>
      <c r="C185" s="525"/>
      <c r="D185" s="525"/>
      <c r="E185" s="525"/>
      <c r="F185" s="525"/>
      <c r="G185" s="525"/>
      <c r="H185" s="525"/>
      <c r="I185" s="525"/>
      <c r="J185" s="525"/>
      <c r="K185" s="525"/>
      <c r="L185" s="525"/>
      <c r="M185" s="525"/>
      <c r="N185" s="525"/>
      <c r="O185" s="525"/>
      <c r="P185" s="525"/>
      <c r="Q185" s="525"/>
      <c r="R185" s="525"/>
      <c r="S185" s="525"/>
      <c r="T185" s="525"/>
      <c r="U185" s="526"/>
      <c r="V185" s="143"/>
    </row>
    <row r="186" spans="1:22" s="84" customFormat="1" ht="15" hidden="1" customHeight="1">
      <c r="A186" s="288"/>
      <c r="B186" s="524" t="s">
        <v>1560</v>
      </c>
      <c r="C186" s="525"/>
      <c r="D186" s="525"/>
      <c r="E186" s="525"/>
      <c r="F186" s="525"/>
      <c r="G186" s="525"/>
      <c r="H186" s="525"/>
      <c r="I186" s="525"/>
      <c r="J186" s="525"/>
      <c r="K186" s="525"/>
      <c r="L186" s="525"/>
      <c r="M186" s="525"/>
      <c r="N186" s="525"/>
      <c r="O186" s="525"/>
      <c r="P186" s="525"/>
      <c r="Q186" s="525"/>
      <c r="R186" s="525"/>
      <c r="S186" s="525"/>
      <c r="T186" s="525"/>
      <c r="U186" s="526"/>
      <c r="V186" s="143"/>
    </row>
    <row r="187" spans="1:22" s="84" customFormat="1" ht="15" hidden="1" customHeight="1">
      <c r="A187" s="288"/>
      <c r="B187" s="524" t="s">
        <v>1560</v>
      </c>
      <c r="C187" s="525"/>
      <c r="D187" s="525"/>
      <c r="E187" s="525"/>
      <c r="F187" s="525"/>
      <c r="G187" s="525"/>
      <c r="H187" s="525"/>
      <c r="I187" s="525"/>
      <c r="J187" s="525"/>
      <c r="K187" s="525"/>
      <c r="L187" s="525"/>
      <c r="M187" s="525"/>
      <c r="N187" s="525"/>
      <c r="O187" s="525"/>
      <c r="P187" s="525"/>
      <c r="Q187" s="525"/>
      <c r="R187" s="525"/>
      <c r="S187" s="525"/>
      <c r="T187" s="525"/>
      <c r="U187" s="526"/>
      <c r="V187" s="143"/>
    </row>
    <row r="188" spans="1:22" s="84" customFormat="1" ht="15" hidden="1" customHeight="1">
      <c r="A188" s="288"/>
      <c r="B188" s="524" t="s">
        <v>1560</v>
      </c>
      <c r="C188" s="525"/>
      <c r="D188" s="525"/>
      <c r="E188" s="525"/>
      <c r="F188" s="525"/>
      <c r="G188" s="525"/>
      <c r="H188" s="525"/>
      <c r="I188" s="525"/>
      <c r="J188" s="525"/>
      <c r="K188" s="525"/>
      <c r="L188" s="525"/>
      <c r="M188" s="525"/>
      <c r="N188" s="525"/>
      <c r="O188" s="525"/>
      <c r="P188" s="525"/>
      <c r="Q188" s="525"/>
      <c r="R188" s="525"/>
      <c r="S188" s="525"/>
      <c r="T188" s="525"/>
      <c r="U188" s="526"/>
      <c r="V188" s="143"/>
    </row>
    <row r="189" spans="1:22" s="84" customFormat="1" ht="15" hidden="1" customHeight="1">
      <c r="A189" s="288"/>
      <c r="B189" s="524" t="s">
        <v>1560</v>
      </c>
      <c r="C189" s="525"/>
      <c r="D189" s="525"/>
      <c r="E189" s="525"/>
      <c r="F189" s="525"/>
      <c r="G189" s="525"/>
      <c r="H189" s="525"/>
      <c r="I189" s="525"/>
      <c r="J189" s="525"/>
      <c r="K189" s="525"/>
      <c r="L189" s="525"/>
      <c r="M189" s="525"/>
      <c r="N189" s="525"/>
      <c r="O189" s="525"/>
      <c r="P189" s="525"/>
      <c r="Q189" s="525"/>
      <c r="R189" s="525"/>
      <c r="S189" s="525"/>
      <c r="T189" s="525"/>
      <c r="U189" s="526"/>
      <c r="V189" s="143"/>
    </row>
    <row r="190" spans="1:22" s="83" customFormat="1" ht="19.5" customHeight="1">
      <c r="A190" s="477" t="s">
        <v>1750</v>
      </c>
      <c r="B190" s="509" t="s">
        <v>367</v>
      </c>
      <c r="C190" s="509"/>
      <c r="D190" s="509"/>
      <c r="E190" s="509"/>
      <c r="F190" s="509"/>
      <c r="G190" s="509"/>
      <c r="H190" s="509"/>
      <c r="I190" s="509"/>
      <c r="J190" s="509"/>
      <c r="K190" s="509"/>
      <c r="L190" s="509"/>
      <c r="M190" s="509"/>
      <c r="N190" s="509"/>
      <c r="O190" s="509"/>
      <c r="P190" s="509"/>
      <c r="Q190" s="509"/>
      <c r="R190" s="509"/>
      <c r="S190" s="509"/>
      <c r="T190" s="509"/>
      <c r="U190" s="509"/>
      <c r="V190" s="142"/>
    </row>
    <row r="191" spans="1:22" s="84" customFormat="1">
      <c r="A191" s="477"/>
      <c r="B191" s="520" t="s">
        <v>368</v>
      </c>
      <c r="C191" s="520"/>
      <c r="D191" s="520"/>
      <c r="E191" s="520"/>
      <c r="F191" s="520"/>
      <c r="G191" s="520"/>
      <c r="H191" s="520"/>
      <c r="I191" s="520"/>
      <c r="J191" s="520"/>
      <c r="K191" s="520"/>
      <c r="L191" s="520" t="s">
        <v>369</v>
      </c>
      <c r="M191" s="520"/>
      <c r="N191" s="520"/>
      <c r="O191" s="520"/>
      <c r="P191" s="520"/>
      <c r="Q191" s="520"/>
      <c r="R191" s="520"/>
      <c r="S191" s="520"/>
      <c r="T191" s="520"/>
      <c r="U191" s="520"/>
      <c r="V191" s="143"/>
    </row>
    <row r="192" spans="1:22" s="84" customFormat="1">
      <c r="A192" s="477"/>
      <c r="B192" s="811" t="s">
        <v>1904</v>
      </c>
      <c r="C192" s="811"/>
      <c r="D192" s="811"/>
      <c r="E192" s="811"/>
      <c r="F192" s="811"/>
      <c r="G192" s="811"/>
      <c r="H192" s="811"/>
      <c r="I192" s="811"/>
      <c r="J192" s="811"/>
      <c r="K192" s="811"/>
      <c r="L192" s="811" t="s">
        <v>1905</v>
      </c>
      <c r="M192" s="811"/>
      <c r="N192" s="811"/>
      <c r="O192" s="811"/>
      <c r="P192" s="811"/>
      <c r="Q192" s="811"/>
      <c r="R192" s="811"/>
      <c r="S192" s="811"/>
      <c r="T192" s="811"/>
      <c r="U192" s="811"/>
      <c r="V192" s="143"/>
    </row>
    <row r="193" spans="1:22" s="84" customFormat="1">
      <c r="A193" s="477"/>
      <c r="B193" s="560"/>
      <c r="C193" s="560"/>
      <c r="D193" s="560"/>
      <c r="E193" s="560"/>
      <c r="F193" s="560"/>
      <c r="G193" s="560"/>
      <c r="H193" s="560"/>
      <c r="I193" s="560"/>
      <c r="J193" s="560"/>
      <c r="K193" s="560"/>
      <c r="L193" s="473"/>
      <c r="M193" s="474"/>
      <c r="N193" s="474"/>
      <c r="O193" s="474"/>
      <c r="P193" s="474"/>
      <c r="Q193" s="474"/>
      <c r="R193" s="474"/>
      <c r="S193" s="474"/>
      <c r="T193" s="474"/>
      <c r="U193" s="474"/>
      <c r="V193" s="143"/>
    </row>
    <row r="194" spans="1:22" s="84" customFormat="1">
      <c r="A194" s="477"/>
      <c r="B194" s="516"/>
      <c r="C194" s="516"/>
      <c r="D194" s="516"/>
      <c r="E194" s="516"/>
      <c r="F194" s="516"/>
      <c r="G194" s="516"/>
      <c r="H194" s="516"/>
      <c r="I194" s="516"/>
      <c r="J194" s="516"/>
      <c r="K194" s="516"/>
      <c r="L194" s="516"/>
      <c r="M194" s="516"/>
      <c r="N194" s="516"/>
      <c r="O194" s="516"/>
      <c r="P194" s="516"/>
      <c r="Q194" s="516"/>
      <c r="R194" s="516"/>
      <c r="S194" s="516"/>
      <c r="T194" s="516"/>
      <c r="U194" s="516"/>
      <c r="V194" s="143"/>
    </row>
    <row r="195" spans="1:22" s="84" customFormat="1">
      <c r="A195" s="477"/>
      <c r="B195" s="516"/>
      <c r="C195" s="516"/>
      <c r="D195" s="516"/>
      <c r="E195" s="516"/>
      <c r="F195" s="516"/>
      <c r="G195" s="516"/>
      <c r="H195" s="516"/>
      <c r="I195" s="516"/>
      <c r="J195" s="516"/>
      <c r="K195" s="516"/>
      <c r="L195" s="516"/>
      <c r="M195" s="516"/>
      <c r="N195" s="516"/>
      <c r="O195" s="516"/>
      <c r="P195" s="516"/>
      <c r="Q195" s="516"/>
      <c r="R195" s="516"/>
      <c r="S195" s="516"/>
      <c r="T195" s="516"/>
      <c r="U195" s="516"/>
      <c r="V195" s="143"/>
    </row>
    <row r="196" spans="1:22" s="84" customFormat="1">
      <c r="A196" s="477"/>
      <c r="B196" s="516"/>
      <c r="C196" s="516"/>
      <c r="D196" s="516"/>
      <c r="E196" s="516"/>
      <c r="F196" s="516"/>
      <c r="G196" s="516"/>
      <c r="H196" s="516"/>
      <c r="I196" s="516"/>
      <c r="J196" s="516"/>
      <c r="K196" s="516"/>
      <c r="L196" s="516"/>
      <c r="M196" s="516"/>
      <c r="N196" s="516"/>
      <c r="O196" s="516"/>
      <c r="P196" s="516"/>
      <c r="Q196" s="516"/>
      <c r="R196" s="516"/>
      <c r="S196" s="516"/>
      <c r="T196" s="516"/>
      <c r="U196" s="516"/>
      <c r="V196" s="143"/>
    </row>
    <row r="197" spans="1:22" s="83" customFormat="1" ht="19.5" customHeight="1">
      <c r="A197" s="477" t="s">
        <v>1750</v>
      </c>
      <c r="B197" s="509" t="s">
        <v>379</v>
      </c>
      <c r="C197" s="509"/>
      <c r="D197" s="509"/>
      <c r="E197" s="509"/>
      <c r="F197" s="509"/>
      <c r="G197" s="509"/>
      <c r="H197" s="509"/>
      <c r="I197" s="509"/>
      <c r="J197" s="509"/>
      <c r="K197" s="509"/>
      <c r="L197" s="509"/>
      <c r="M197" s="509"/>
      <c r="N197" s="509"/>
      <c r="O197" s="509"/>
      <c r="P197" s="509"/>
      <c r="Q197" s="509"/>
      <c r="R197" s="509"/>
      <c r="S197" s="509"/>
      <c r="T197" s="509"/>
      <c r="U197" s="509"/>
      <c r="V197" s="142"/>
    </row>
    <row r="198" spans="1:22" ht="30" customHeight="1">
      <c r="A198" s="477"/>
      <c r="B198" s="122" t="s">
        <v>380</v>
      </c>
      <c r="C198" s="506" t="s">
        <v>1607</v>
      </c>
      <c r="D198" s="507"/>
      <c r="E198" s="508"/>
      <c r="F198" s="506" t="s">
        <v>1608</v>
      </c>
      <c r="G198" s="507"/>
      <c r="H198" s="507"/>
      <c r="I198" s="508"/>
      <c r="J198" s="506" t="s">
        <v>381</v>
      </c>
      <c r="K198" s="508"/>
      <c r="L198" s="513" t="s">
        <v>382</v>
      </c>
      <c r="M198" s="514"/>
      <c r="N198" s="514"/>
      <c r="O198" s="514"/>
      <c r="P198" s="514"/>
      <c r="Q198" s="514"/>
      <c r="R198" s="514"/>
      <c r="S198" s="514"/>
      <c r="T198" s="514"/>
      <c r="U198" s="515"/>
    </row>
    <row r="199" spans="1:22" ht="30" customHeight="1">
      <c r="A199" s="477"/>
      <c r="B199" s="122">
        <v>1</v>
      </c>
      <c r="C199" s="489"/>
      <c r="D199" s="490"/>
      <c r="E199" s="491"/>
      <c r="F199" s="489"/>
      <c r="G199" s="490"/>
      <c r="H199" s="490"/>
      <c r="I199" s="491"/>
      <c r="J199" s="492">
        <f>IFERROR(VLOOKUP(F199,Deviations!$B$3:$C$27,2,FALSE),0)</f>
        <v>0</v>
      </c>
      <c r="K199" s="492"/>
      <c r="L199" s="473"/>
      <c r="M199" s="474"/>
      <c r="N199" s="474"/>
      <c r="O199" s="474"/>
      <c r="P199" s="474"/>
      <c r="Q199" s="474"/>
      <c r="R199" s="474"/>
      <c r="S199" s="474"/>
      <c r="T199" s="474"/>
      <c r="U199" s="474"/>
    </row>
    <row r="200" spans="1:22" ht="30" customHeight="1">
      <c r="A200" s="477"/>
      <c r="B200" s="122">
        <v>2</v>
      </c>
      <c r="C200" s="489"/>
      <c r="D200" s="490"/>
      <c r="E200" s="491"/>
      <c r="F200" s="489"/>
      <c r="G200" s="490"/>
      <c r="H200" s="490"/>
      <c r="I200" s="491"/>
      <c r="J200" s="492">
        <f>IFERROR(VLOOKUP(F200,Deviations!$B$3:$C$27,2,FALSE),0)</f>
        <v>0</v>
      </c>
      <c r="K200" s="492"/>
      <c r="L200" s="473"/>
      <c r="M200" s="474"/>
      <c r="N200" s="474"/>
      <c r="O200" s="474"/>
      <c r="P200" s="474"/>
      <c r="Q200" s="474"/>
      <c r="R200" s="474"/>
      <c r="S200" s="474"/>
      <c r="T200" s="474"/>
      <c r="U200" s="474"/>
    </row>
    <row r="201" spans="1:22" ht="30" customHeight="1">
      <c r="A201" s="477"/>
      <c r="B201" s="122">
        <v>3</v>
      </c>
      <c r="C201" s="489"/>
      <c r="D201" s="490"/>
      <c r="E201" s="491"/>
      <c r="F201" s="489"/>
      <c r="G201" s="490"/>
      <c r="H201" s="490"/>
      <c r="I201" s="491"/>
      <c r="J201" s="492">
        <f>IFERROR(VLOOKUP(F201,Deviations!$B$3:$C$27,2,FALSE),0)</f>
        <v>0</v>
      </c>
      <c r="K201" s="492"/>
      <c r="L201" s="510"/>
      <c r="M201" s="493"/>
      <c r="N201" s="493"/>
      <c r="O201" s="493"/>
      <c r="P201" s="493"/>
      <c r="Q201" s="493"/>
      <c r="R201" s="493"/>
      <c r="S201" s="493"/>
      <c r="T201" s="493"/>
      <c r="U201" s="493"/>
    </row>
    <row r="202" spans="1:22" ht="30" customHeight="1">
      <c r="A202" s="477"/>
      <c r="B202" s="122">
        <v>4</v>
      </c>
      <c r="C202" s="489"/>
      <c r="D202" s="490"/>
      <c r="E202" s="491"/>
      <c r="F202" s="489"/>
      <c r="G202" s="490"/>
      <c r="H202" s="490"/>
      <c r="I202" s="491"/>
      <c r="J202" s="492">
        <f>IFERROR(VLOOKUP(F202,Deviations!$B$3:$C$27,2,FALSE),0)</f>
        <v>0</v>
      </c>
      <c r="K202" s="492"/>
      <c r="L202" s="510"/>
      <c r="M202" s="493"/>
      <c r="N202" s="493"/>
      <c r="O202" s="493"/>
      <c r="P202" s="493"/>
      <c r="Q202" s="493"/>
      <c r="R202" s="493"/>
      <c r="S202" s="493"/>
      <c r="T202" s="493"/>
      <c r="U202" s="493"/>
    </row>
    <row r="203" spans="1:22" ht="30" customHeight="1">
      <c r="A203" s="477"/>
      <c r="B203" s="122">
        <v>5</v>
      </c>
      <c r="C203" s="489"/>
      <c r="D203" s="490"/>
      <c r="E203" s="491"/>
      <c r="F203" s="489"/>
      <c r="G203" s="490"/>
      <c r="H203" s="490"/>
      <c r="I203" s="491"/>
      <c r="J203" s="492">
        <f>IFERROR(VLOOKUP(F203,Deviations!$B$3:$C$27,2,FALSE),0)</f>
        <v>0</v>
      </c>
      <c r="K203" s="492"/>
      <c r="L203" s="510"/>
      <c r="M203" s="493"/>
      <c r="N203" s="493"/>
      <c r="O203" s="493"/>
      <c r="P203" s="493"/>
      <c r="Q203" s="493"/>
      <c r="R203" s="493"/>
      <c r="S203" s="493"/>
      <c r="T203" s="493"/>
      <c r="U203" s="493"/>
    </row>
    <row r="204" spans="1:22" ht="30" customHeight="1">
      <c r="A204" s="477"/>
      <c r="B204" s="122">
        <v>6</v>
      </c>
      <c r="C204" s="489"/>
      <c r="D204" s="490"/>
      <c r="E204" s="491"/>
      <c r="F204" s="489"/>
      <c r="G204" s="490"/>
      <c r="H204" s="490"/>
      <c r="I204" s="491"/>
      <c r="J204" s="492">
        <f>IFERROR(VLOOKUP(F204,Deviations!$B$3:$C$27,2,FALSE),0)</f>
        <v>0</v>
      </c>
      <c r="K204" s="492"/>
      <c r="L204" s="493"/>
      <c r="M204" s="493"/>
      <c r="N204" s="493"/>
      <c r="O204" s="493"/>
      <c r="P204" s="493"/>
      <c r="Q204" s="493"/>
      <c r="R204" s="493"/>
      <c r="S204" s="493"/>
      <c r="T204" s="493"/>
      <c r="U204" s="493"/>
    </row>
    <row r="205" spans="1:22" ht="30" customHeight="1">
      <c r="A205" s="477"/>
      <c r="B205" s="122">
        <v>7</v>
      </c>
      <c r="C205" s="489"/>
      <c r="D205" s="490"/>
      <c r="E205" s="491"/>
      <c r="F205" s="489"/>
      <c r="G205" s="490"/>
      <c r="H205" s="490"/>
      <c r="I205" s="491"/>
      <c r="J205" s="492">
        <f>IFERROR(VLOOKUP(F205,Deviations!$B$3:$C$27,2,FALSE),0)</f>
        <v>0</v>
      </c>
      <c r="K205" s="492"/>
      <c r="L205" s="510"/>
      <c r="M205" s="493"/>
      <c r="N205" s="493"/>
      <c r="O205" s="493"/>
      <c r="P205" s="493"/>
      <c r="Q205" s="493"/>
      <c r="R205" s="493"/>
      <c r="S205" s="493"/>
      <c r="T205" s="493"/>
      <c r="U205" s="493"/>
    </row>
    <row r="206" spans="1:22" ht="30" customHeight="1">
      <c r="A206" s="477"/>
      <c r="B206" s="122">
        <v>8</v>
      </c>
      <c r="C206" s="489"/>
      <c r="D206" s="490"/>
      <c r="E206" s="491"/>
      <c r="F206" s="489"/>
      <c r="G206" s="490"/>
      <c r="H206" s="490"/>
      <c r="I206" s="491"/>
      <c r="J206" s="492">
        <f>IFERROR(VLOOKUP(F206,Deviations!$B$3:$C$27,2,FALSE),0)</f>
        <v>0</v>
      </c>
      <c r="K206" s="492"/>
      <c r="L206" s="493"/>
      <c r="M206" s="493"/>
      <c r="N206" s="493"/>
      <c r="O206" s="493"/>
      <c r="P206" s="493"/>
      <c r="Q206" s="493"/>
      <c r="R206" s="493"/>
      <c r="S206" s="493"/>
      <c r="T206" s="493"/>
      <c r="U206" s="493"/>
    </row>
    <row r="207" spans="1:22" ht="30" customHeight="1">
      <c r="A207" s="477"/>
      <c r="B207" s="122">
        <v>9</v>
      </c>
      <c r="C207" s="489"/>
      <c r="D207" s="490"/>
      <c r="E207" s="491"/>
      <c r="F207" s="489"/>
      <c r="G207" s="490"/>
      <c r="H207" s="490"/>
      <c r="I207" s="491"/>
      <c r="J207" s="492">
        <f>IFERROR(VLOOKUP(F207,Deviations!$B$3:$C$27,2,FALSE),0)</f>
        <v>0</v>
      </c>
      <c r="K207" s="492"/>
      <c r="L207" s="493"/>
      <c r="M207" s="493"/>
      <c r="N207" s="493"/>
      <c r="O207" s="493"/>
      <c r="P207" s="493"/>
      <c r="Q207" s="493"/>
      <c r="R207" s="493"/>
      <c r="S207" s="493"/>
      <c r="T207" s="493"/>
      <c r="U207" s="493"/>
    </row>
    <row r="208" spans="1:22" ht="30" customHeight="1">
      <c r="A208" s="477"/>
      <c r="B208" s="122">
        <v>10</v>
      </c>
      <c r="C208" s="489"/>
      <c r="D208" s="490"/>
      <c r="E208" s="491"/>
      <c r="F208" s="489"/>
      <c r="G208" s="490"/>
      <c r="H208" s="490"/>
      <c r="I208" s="491"/>
      <c r="J208" s="492">
        <f>IFERROR(VLOOKUP(F208,Deviations!$B$3:$C$27,2,FALSE),0)</f>
        <v>0</v>
      </c>
      <c r="K208" s="492"/>
      <c r="L208" s="493"/>
      <c r="M208" s="493"/>
      <c r="N208" s="493"/>
      <c r="O208" s="493"/>
      <c r="P208" s="493"/>
      <c r="Q208" s="493"/>
      <c r="R208" s="493"/>
      <c r="S208" s="493"/>
      <c r="T208" s="493"/>
      <c r="U208" s="493"/>
    </row>
    <row r="209" spans="1:22" s="83" customFormat="1" ht="19.5" customHeight="1">
      <c r="A209" s="477" t="s">
        <v>1750</v>
      </c>
      <c r="B209" s="509" t="s">
        <v>383</v>
      </c>
      <c r="C209" s="509"/>
      <c r="D209" s="509"/>
      <c r="E209" s="509"/>
      <c r="F209" s="509"/>
      <c r="G209" s="509"/>
      <c r="H209" s="509"/>
      <c r="I209" s="509"/>
      <c r="J209" s="509"/>
      <c r="K209" s="509"/>
      <c r="L209" s="509"/>
      <c r="M209" s="509"/>
      <c r="N209" s="509"/>
      <c r="O209" s="509"/>
      <c r="P209" s="509"/>
      <c r="Q209" s="509"/>
      <c r="R209" s="509"/>
      <c r="S209" s="509"/>
      <c r="T209" s="509"/>
      <c r="U209" s="509"/>
      <c r="V209" s="142"/>
    </row>
    <row r="210" spans="1:22">
      <c r="A210" s="477"/>
      <c r="B210" s="501"/>
      <c r="C210" s="501"/>
      <c r="D210" s="501"/>
      <c r="E210" s="501"/>
      <c r="F210" s="501"/>
      <c r="G210" s="501"/>
      <c r="H210" s="501"/>
      <c r="I210" s="501"/>
      <c r="J210" s="501"/>
      <c r="K210" s="501"/>
      <c r="L210" s="501"/>
      <c r="M210" s="501"/>
      <c r="N210" s="501"/>
      <c r="O210" s="501"/>
      <c r="P210" s="501"/>
      <c r="Q210" s="501"/>
      <c r="R210" s="501"/>
      <c r="S210" s="501"/>
      <c r="T210" s="501"/>
      <c r="U210" s="501"/>
    </row>
    <row r="211" spans="1:22">
      <c r="A211" s="477"/>
      <c r="B211" s="501"/>
      <c r="C211" s="501"/>
      <c r="D211" s="501"/>
      <c r="E211" s="501"/>
      <c r="F211" s="501"/>
      <c r="G211" s="501"/>
      <c r="H211" s="501"/>
      <c r="I211" s="501"/>
      <c r="J211" s="501"/>
      <c r="K211" s="501"/>
      <c r="L211" s="501"/>
      <c r="M211" s="501"/>
      <c r="N211" s="501"/>
      <c r="O211" s="501"/>
      <c r="P211" s="501"/>
      <c r="Q211" s="501"/>
      <c r="R211" s="501"/>
      <c r="S211" s="501"/>
      <c r="T211" s="501"/>
      <c r="U211" s="501"/>
    </row>
    <row r="212" spans="1:22">
      <c r="A212" s="477"/>
      <c r="B212" s="502"/>
      <c r="C212" s="503"/>
      <c r="D212" s="503"/>
      <c r="E212" s="503"/>
      <c r="F212" s="503"/>
      <c r="G212" s="503"/>
      <c r="H212" s="503"/>
      <c r="I212" s="503"/>
      <c r="J212" s="503"/>
      <c r="K212" s="503"/>
      <c r="L212" s="503"/>
      <c r="M212" s="503"/>
      <c r="N212" s="503"/>
      <c r="O212" s="503"/>
      <c r="P212" s="503"/>
      <c r="Q212" s="503"/>
      <c r="R212" s="503"/>
      <c r="S212" s="503"/>
      <c r="T212" s="503"/>
      <c r="U212" s="504"/>
    </row>
    <row r="213" spans="1:22">
      <c r="A213" s="477"/>
      <c r="B213" s="502"/>
      <c r="C213" s="503"/>
      <c r="D213" s="503"/>
      <c r="E213" s="503"/>
      <c r="F213" s="503"/>
      <c r="G213" s="503"/>
      <c r="H213" s="503"/>
      <c r="I213" s="503"/>
      <c r="J213" s="503"/>
      <c r="K213" s="503"/>
      <c r="L213" s="503"/>
      <c r="M213" s="503"/>
      <c r="N213" s="503"/>
      <c r="O213" s="503"/>
      <c r="P213" s="503"/>
      <c r="Q213" s="503"/>
      <c r="R213" s="503"/>
      <c r="S213" s="503"/>
      <c r="T213" s="503"/>
      <c r="U213" s="504"/>
    </row>
    <row r="214" spans="1:22">
      <c r="A214" s="477"/>
      <c r="B214" s="499"/>
      <c r="C214" s="499"/>
      <c r="D214" s="499"/>
      <c r="E214" s="499"/>
      <c r="F214" s="499"/>
      <c r="G214" s="499"/>
      <c r="H214" s="499"/>
      <c r="I214" s="499"/>
      <c r="J214" s="499"/>
      <c r="K214" s="499"/>
      <c r="L214" s="499"/>
      <c r="M214" s="499"/>
      <c r="N214" s="499"/>
      <c r="O214" s="499"/>
      <c r="P214" s="499"/>
      <c r="Q214" s="499"/>
      <c r="R214" s="499"/>
      <c r="S214" s="499"/>
      <c r="T214" s="499"/>
      <c r="U214" s="499"/>
    </row>
    <row r="215" spans="1:22">
      <c r="A215" s="477"/>
      <c r="B215" s="505"/>
      <c r="C215" s="505"/>
      <c r="D215" s="505"/>
      <c r="E215" s="505"/>
      <c r="F215" s="505"/>
      <c r="G215" s="505"/>
      <c r="H215" s="505"/>
      <c r="I215" s="505"/>
      <c r="J215" s="505"/>
      <c r="K215" s="505"/>
      <c r="L215" s="505"/>
      <c r="M215" s="505"/>
      <c r="N215" s="505"/>
      <c r="O215" s="505"/>
      <c r="P215" s="505"/>
      <c r="Q215" s="505"/>
      <c r="R215" s="505"/>
      <c r="S215" s="505"/>
      <c r="T215" s="505"/>
      <c r="U215" s="505"/>
    </row>
    <row r="216" spans="1:22">
      <c r="A216" s="477"/>
      <c r="B216" s="499"/>
      <c r="C216" s="499"/>
      <c r="D216" s="499"/>
      <c r="E216" s="499"/>
      <c r="F216" s="499"/>
      <c r="G216" s="499"/>
      <c r="H216" s="499"/>
      <c r="I216" s="499"/>
      <c r="J216" s="499"/>
      <c r="K216" s="499"/>
      <c r="L216" s="499"/>
      <c r="M216" s="499"/>
      <c r="N216" s="499"/>
      <c r="O216" s="499"/>
      <c r="P216" s="499"/>
      <c r="Q216" s="499"/>
      <c r="R216" s="499"/>
      <c r="S216" s="499"/>
      <c r="T216" s="499"/>
      <c r="U216" s="499"/>
    </row>
    <row r="217" spans="1:22">
      <c r="A217" s="477"/>
      <c r="B217" s="499"/>
      <c r="C217" s="499"/>
      <c r="D217" s="499"/>
      <c r="E217" s="499"/>
      <c r="F217" s="499"/>
      <c r="G217" s="499"/>
      <c r="H217" s="499"/>
      <c r="I217" s="499"/>
      <c r="J217" s="499"/>
      <c r="K217" s="499"/>
      <c r="L217" s="499"/>
      <c r="M217" s="499"/>
      <c r="N217" s="499"/>
      <c r="O217" s="499"/>
      <c r="P217" s="499"/>
      <c r="Q217" s="499"/>
      <c r="R217" s="499"/>
      <c r="S217" s="499"/>
      <c r="T217" s="499"/>
      <c r="U217" s="499"/>
    </row>
    <row r="218" spans="1:22">
      <c r="A218" s="477"/>
      <c r="B218" s="499"/>
      <c r="C218" s="499"/>
      <c r="D218" s="499"/>
      <c r="E218" s="499"/>
      <c r="F218" s="499"/>
      <c r="G218" s="499"/>
      <c r="H218" s="499"/>
      <c r="I218" s="499"/>
      <c r="J218" s="499"/>
      <c r="K218" s="499"/>
      <c r="L218" s="499"/>
      <c r="M218" s="499"/>
      <c r="N218" s="499"/>
      <c r="O218" s="499"/>
      <c r="P218" s="499"/>
      <c r="Q218" s="499"/>
      <c r="R218" s="499"/>
      <c r="S218" s="499"/>
      <c r="T218" s="499"/>
      <c r="U218" s="499"/>
    </row>
    <row r="219" spans="1:22">
      <c r="A219" s="477"/>
      <c r="B219" s="499"/>
      <c r="C219" s="499"/>
      <c r="D219" s="499"/>
      <c r="E219" s="499"/>
      <c r="F219" s="499"/>
      <c r="G219" s="499"/>
      <c r="H219" s="499"/>
      <c r="I219" s="499"/>
      <c r="J219" s="499"/>
      <c r="K219" s="499"/>
      <c r="L219" s="499"/>
      <c r="M219" s="499"/>
      <c r="N219" s="499"/>
      <c r="O219" s="499"/>
      <c r="P219" s="499"/>
      <c r="Q219" s="499"/>
      <c r="R219" s="499"/>
      <c r="S219" s="499"/>
      <c r="T219" s="499"/>
      <c r="U219" s="499"/>
    </row>
    <row r="220" spans="1:22">
      <c r="A220" s="477"/>
      <c r="B220" s="499"/>
      <c r="C220" s="499"/>
      <c r="D220" s="499"/>
      <c r="E220" s="499"/>
      <c r="F220" s="499"/>
      <c r="G220" s="499"/>
      <c r="H220" s="499"/>
      <c r="I220" s="499"/>
      <c r="J220" s="499"/>
      <c r="K220" s="499"/>
      <c r="L220" s="499"/>
      <c r="M220" s="499"/>
      <c r="N220" s="499"/>
      <c r="O220" s="499"/>
      <c r="P220" s="499"/>
      <c r="Q220" s="499"/>
      <c r="R220" s="499"/>
      <c r="S220" s="499"/>
      <c r="T220" s="499"/>
      <c r="U220" s="499"/>
    </row>
    <row r="221" spans="1:22">
      <c r="A221" s="477"/>
      <c r="B221" s="499"/>
      <c r="C221" s="499"/>
      <c r="D221" s="499"/>
      <c r="E221" s="499"/>
      <c r="F221" s="499"/>
      <c r="G221" s="499"/>
      <c r="H221" s="499"/>
      <c r="I221" s="499"/>
      <c r="J221" s="499"/>
      <c r="K221" s="499"/>
      <c r="L221" s="499"/>
      <c r="M221" s="499"/>
      <c r="N221" s="499"/>
      <c r="O221" s="499"/>
      <c r="P221" s="499"/>
      <c r="Q221" s="499"/>
      <c r="R221" s="499"/>
      <c r="S221" s="499"/>
      <c r="T221" s="499"/>
      <c r="U221" s="499"/>
    </row>
    <row r="222" spans="1:22">
      <c r="A222" s="477"/>
      <c r="B222" s="499"/>
      <c r="C222" s="499"/>
      <c r="D222" s="499"/>
      <c r="E222" s="499"/>
      <c r="F222" s="499"/>
      <c r="G222" s="499"/>
      <c r="H222" s="499"/>
      <c r="I222" s="499"/>
      <c r="J222" s="499"/>
      <c r="K222" s="499"/>
      <c r="L222" s="499"/>
      <c r="M222" s="499"/>
      <c r="N222" s="499"/>
      <c r="O222" s="499"/>
      <c r="P222" s="499"/>
      <c r="Q222" s="499"/>
      <c r="R222" s="499"/>
      <c r="S222" s="499"/>
      <c r="T222" s="499"/>
      <c r="U222" s="499"/>
    </row>
    <row r="223" spans="1:22">
      <c r="A223" s="477"/>
      <c r="B223" s="499"/>
      <c r="C223" s="499"/>
      <c r="D223" s="499"/>
      <c r="E223" s="499"/>
      <c r="F223" s="499"/>
      <c r="G223" s="499"/>
      <c r="H223" s="499"/>
      <c r="I223" s="499"/>
      <c r="J223" s="499"/>
      <c r="K223" s="499"/>
      <c r="L223" s="499"/>
      <c r="M223" s="499"/>
      <c r="N223" s="499"/>
      <c r="O223" s="499"/>
      <c r="P223" s="499"/>
      <c r="Q223" s="499"/>
      <c r="R223" s="499"/>
      <c r="S223" s="499"/>
      <c r="T223" s="499"/>
      <c r="U223" s="499"/>
    </row>
    <row r="224" spans="1:22">
      <c r="A224" s="477"/>
      <c r="B224" s="499"/>
      <c r="C224" s="499"/>
      <c r="D224" s="499"/>
      <c r="E224" s="499"/>
      <c r="F224" s="499"/>
      <c r="G224" s="499"/>
      <c r="H224" s="499"/>
      <c r="I224" s="499"/>
      <c r="J224" s="499"/>
      <c r="K224" s="499"/>
      <c r="L224" s="499"/>
      <c r="M224" s="499"/>
      <c r="N224" s="499"/>
      <c r="O224" s="499"/>
      <c r="P224" s="499"/>
      <c r="Q224" s="499"/>
      <c r="R224" s="499"/>
      <c r="S224" s="499"/>
      <c r="T224" s="499"/>
      <c r="U224" s="499"/>
    </row>
    <row r="225" spans="1:22">
      <c r="A225" s="477"/>
      <c r="B225" s="499"/>
      <c r="C225" s="499"/>
      <c r="D225" s="499"/>
      <c r="E225" s="499"/>
      <c r="F225" s="499"/>
      <c r="G225" s="499"/>
      <c r="H225" s="499"/>
      <c r="I225" s="499"/>
      <c r="J225" s="499"/>
      <c r="K225" s="499"/>
      <c r="L225" s="499"/>
      <c r="M225" s="499"/>
      <c r="N225" s="499"/>
      <c r="O225" s="499"/>
      <c r="P225" s="499"/>
      <c r="Q225" s="499"/>
      <c r="R225" s="499"/>
      <c r="S225" s="499"/>
      <c r="T225" s="499"/>
      <c r="U225" s="499"/>
    </row>
    <row r="226" spans="1:22">
      <c r="A226" s="477"/>
      <c r="B226" s="499"/>
      <c r="C226" s="499"/>
      <c r="D226" s="499"/>
      <c r="E226" s="499"/>
      <c r="F226" s="499"/>
      <c r="G226" s="499"/>
      <c r="H226" s="499"/>
      <c r="I226" s="499"/>
      <c r="J226" s="499"/>
      <c r="K226" s="499"/>
      <c r="L226" s="499"/>
      <c r="M226" s="499"/>
      <c r="N226" s="499"/>
      <c r="O226" s="499"/>
      <c r="P226" s="499"/>
      <c r="Q226" s="499"/>
      <c r="R226" s="499"/>
      <c r="S226" s="499"/>
      <c r="T226" s="499"/>
      <c r="U226" s="499"/>
    </row>
    <row r="227" spans="1:22" s="83" customFormat="1" ht="19.5" customHeight="1">
      <c r="A227" s="478" t="s">
        <v>1751</v>
      </c>
      <c r="B227" s="500" t="s">
        <v>1568</v>
      </c>
      <c r="C227" s="500"/>
      <c r="D227" s="500"/>
      <c r="E227" s="500"/>
      <c r="F227" s="500"/>
      <c r="G227" s="500"/>
      <c r="H227" s="500"/>
      <c r="I227" s="500"/>
      <c r="J227" s="500"/>
      <c r="K227" s="500"/>
      <c r="L227" s="500"/>
      <c r="M227" s="500"/>
      <c r="N227" s="500"/>
      <c r="O227" s="500"/>
      <c r="P227" s="500"/>
      <c r="Q227" s="500"/>
      <c r="R227" s="500"/>
      <c r="S227" s="500"/>
      <c r="T227" s="500"/>
      <c r="U227" s="500"/>
      <c r="V227" s="142"/>
    </row>
    <row r="228" spans="1:22">
      <c r="A228" s="478"/>
      <c r="B228" s="497" t="s">
        <v>1569</v>
      </c>
      <c r="C228" s="497"/>
      <c r="D228" s="497"/>
      <c r="E228" s="497"/>
      <c r="F228" s="497"/>
      <c r="G228" s="498"/>
      <c r="H228" s="498"/>
      <c r="I228" s="498"/>
      <c r="J228" s="498"/>
      <c r="K228" s="494" t="s">
        <v>1573</v>
      </c>
      <c r="L228" s="495"/>
      <c r="M228" s="495"/>
      <c r="N228" s="495"/>
      <c r="O228" s="495"/>
      <c r="P228" s="495"/>
      <c r="Q228" s="495"/>
      <c r="R228" s="495"/>
      <c r="S228" s="495"/>
      <c r="T228" s="495"/>
      <c r="U228" s="496"/>
    </row>
    <row r="229" spans="1:22" ht="15" customHeight="1">
      <c r="A229" s="478"/>
      <c r="B229" s="497" t="s">
        <v>1570</v>
      </c>
      <c r="C229" s="497"/>
      <c r="D229" s="497"/>
      <c r="E229" s="497"/>
      <c r="F229" s="497"/>
      <c r="G229" s="498"/>
      <c r="H229" s="498"/>
      <c r="I229" s="498"/>
      <c r="J229" s="498"/>
      <c r="K229" s="473"/>
      <c r="L229" s="474"/>
      <c r="M229" s="474"/>
      <c r="N229" s="474"/>
      <c r="O229" s="474"/>
      <c r="P229" s="474"/>
      <c r="Q229" s="474"/>
      <c r="R229" s="474"/>
      <c r="S229" s="474"/>
      <c r="T229" s="474"/>
      <c r="U229" s="474"/>
    </row>
    <row r="230" spans="1:22">
      <c r="A230" s="478"/>
      <c r="B230" s="497" t="s">
        <v>1707</v>
      </c>
      <c r="C230" s="497"/>
      <c r="D230" s="497"/>
      <c r="E230" s="497"/>
      <c r="F230" s="497"/>
      <c r="G230" s="505"/>
      <c r="H230" s="505"/>
      <c r="K230" s="474"/>
      <c r="L230" s="474"/>
      <c r="M230" s="474"/>
      <c r="N230" s="474"/>
      <c r="O230" s="474"/>
      <c r="P230" s="474"/>
      <c r="Q230" s="474"/>
      <c r="R230" s="474"/>
      <c r="S230" s="474"/>
      <c r="T230" s="474"/>
      <c r="U230" s="474"/>
    </row>
    <row r="231" spans="1:22">
      <c r="A231" s="478"/>
      <c r="B231" s="497" t="s">
        <v>1571</v>
      </c>
      <c r="C231" s="497"/>
      <c r="D231" s="497"/>
      <c r="E231" s="497"/>
      <c r="F231" s="497"/>
      <c r="G231" s="511"/>
      <c r="H231" s="511"/>
      <c r="I231" s="511"/>
      <c r="J231" s="511"/>
      <c r="K231" s="474"/>
      <c r="L231" s="474"/>
      <c r="M231" s="474"/>
      <c r="N231" s="474"/>
      <c r="O231" s="474"/>
      <c r="P231" s="474"/>
      <c r="Q231" s="474"/>
      <c r="R231" s="474"/>
      <c r="S231" s="474"/>
      <c r="T231" s="474"/>
      <c r="U231" s="474"/>
    </row>
    <row r="232" spans="1:22">
      <c r="A232" s="478"/>
      <c r="B232" s="497" t="s">
        <v>17</v>
      </c>
      <c r="C232" s="497"/>
      <c r="D232" s="497"/>
      <c r="E232" s="497"/>
      <c r="F232" s="497"/>
      <c r="G232" s="511"/>
      <c r="H232" s="511"/>
      <c r="I232" s="511"/>
      <c r="J232" s="511"/>
      <c r="K232" s="474"/>
      <c r="L232" s="474"/>
      <c r="M232" s="474"/>
      <c r="N232" s="474"/>
      <c r="O232" s="474"/>
      <c r="P232" s="474"/>
      <c r="Q232" s="474"/>
      <c r="R232" s="474"/>
      <c r="S232" s="474"/>
      <c r="T232" s="474"/>
      <c r="U232" s="474"/>
    </row>
    <row r="233" spans="1:22">
      <c r="A233" s="478"/>
      <c r="B233" s="497" t="s">
        <v>1572</v>
      </c>
      <c r="C233" s="497"/>
      <c r="D233" s="497"/>
      <c r="E233" s="497"/>
      <c r="F233" s="497"/>
      <c r="G233" s="511"/>
      <c r="H233" s="511"/>
      <c r="I233" s="511"/>
      <c r="J233" s="511"/>
      <c r="K233" s="474"/>
      <c r="L233" s="474"/>
      <c r="M233" s="474"/>
      <c r="N233" s="474"/>
      <c r="O233" s="474"/>
      <c r="P233" s="474"/>
      <c r="Q233" s="474"/>
      <c r="R233" s="474"/>
      <c r="S233" s="474"/>
      <c r="T233" s="474"/>
      <c r="U233" s="474"/>
    </row>
    <row r="234" spans="1:22" s="78" customFormat="1" ht="15" customHeight="1">
      <c r="A234" s="478"/>
      <c r="B234" s="497" t="s">
        <v>1708</v>
      </c>
      <c r="C234" s="497"/>
      <c r="D234" s="497"/>
      <c r="E234" s="497"/>
      <c r="F234" s="497"/>
      <c r="G234" s="511"/>
      <c r="H234" s="511"/>
      <c r="I234" s="511"/>
      <c r="J234" s="511"/>
      <c r="K234" s="475"/>
      <c r="L234" s="476"/>
      <c r="M234" s="476"/>
      <c r="N234" s="476"/>
      <c r="O234" s="476"/>
      <c r="P234" s="476"/>
      <c r="Q234" s="476"/>
      <c r="R234" s="476"/>
      <c r="S234" s="476"/>
      <c r="T234" s="476"/>
      <c r="U234" s="476"/>
    </row>
    <row r="235" spans="1:22" s="78" customFormat="1">
      <c r="A235" s="478"/>
      <c r="B235" s="497" t="s">
        <v>1709</v>
      </c>
      <c r="C235" s="497"/>
      <c r="D235" s="497"/>
      <c r="E235" s="497"/>
      <c r="F235" s="497"/>
      <c r="G235" s="511"/>
      <c r="H235" s="511"/>
      <c r="I235" s="511"/>
      <c r="J235" s="511"/>
      <c r="K235" s="476"/>
      <c r="L235" s="476"/>
      <c r="M235" s="476"/>
      <c r="N235" s="476"/>
      <c r="O235" s="476"/>
      <c r="P235" s="476"/>
      <c r="Q235" s="476"/>
      <c r="R235" s="476"/>
      <c r="S235" s="476"/>
      <c r="T235" s="476"/>
      <c r="U235" s="476"/>
    </row>
    <row r="236" spans="1:22" s="78" customFormat="1">
      <c r="A236" s="478"/>
      <c r="B236" s="497" t="s">
        <v>1706</v>
      </c>
      <c r="C236" s="497"/>
      <c r="D236" s="497"/>
      <c r="E236" s="497"/>
      <c r="F236" s="497"/>
      <c r="G236" s="511"/>
      <c r="H236" s="511"/>
      <c r="I236" s="511"/>
      <c r="J236" s="511"/>
      <c r="K236" s="476"/>
      <c r="L236" s="476"/>
      <c r="M236" s="476"/>
      <c r="N236" s="476"/>
      <c r="O236" s="476"/>
      <c r="P236" s="476"/>
      <c r="Q236" s="476"/>
      <c r="R236" s="476"/>
      <c r="S236" s="476"/>
      <c r="T236" s="476"/>
      <c r="U236" s="476"/>
    </row>
    <row r="237" spans="1:22" s="78" customFormat="1">
      <c r="A237" s="478"/>
      <c r="B237" s="497" t="s">
        <v>1710</v>
      </c>
      <c r="C237" s="497"/>
      <c r="D237" s="497"/>
      <c r="E237" s="497"/>
      <c r="F237" s="497"/>
      <c r="G237" s="512"/>
      <c r="H237" s="511"/>
      <c r="I237" s="511"/>
      <c r="J237" s="511"/>
      <c r="K237" s="476"/>
      <c r="L237" s="476"/>
      <c r="M237" s="476"/>
      <c r="N237" s="476"/>
      <c r="O237" s="476"/>
      <c r="P237" s="476"/>
      <c r="Q237" s="476"/>
      <c r="R237" s="476"/>
      <c r="S237" s="476"/>
      <c r="T237" s="476"/>
      <c r="U237" s="476"/>
    </row>
    <row r="238" spans="1:22" s="78" customFormat="1"/>
    <row r="239" spans="1:22" s="78" customFormat="1"/>
    <row r="240" spans="1:22" s="78" customFormat="1"/>
    <row r="241" s="78" customFormat="1"/>
    <row r="242" s="78" customFormat="1"/>
    <row r="243"/>
    <row r="244"/>
    <row r="245"/>
    <row r="246"/>
    <row r="247"/>
  </sheetData>
  <sheetProtection algorithmName="SHA-512" hashValue="pR924zTsSgEJJVxYmog1y9xLut+Ad5AIj9Dsknd0zB2ip1ljBb1zaPQb1r5dkXrF2cIJfAAAbmihvQS13w3cpg==" saltValue="kDOyXuiLbHt0sZyTUJsTqA==" spinCount="100000" sheet="1" objects="1" scenarios="1" formatCells="0" formatRows="0" insertRows="0" deleteRows="0"/>
  <mergeCells count="444">
    <mergeCell ref="B11:C11"/>
    <mergeCell ref="D11:E11"/>
    <mergeCell ref="F11:G11"/>
    <mergeCell ref="H11:I11"/>
    <mergeCell ref="J11:K11"/>
    <mergeCell ref="L11:M11"/>
    <mergeCell ref="D27:G27"/>
    <mergeCell ref="E41:H41"/>
    <mergeCell ref="I41:K41"/>
    <mergeCell ref="B41:D41"/>
    <mergeCell ref="B35:D35"/>
    <mergeCell ref="B36:D36"/>
    <mergeCell ref="B37:D37"/>
    <mergeCell ref="B38:D38"/>
    <mergeCell ref="B39:D39"/>
    <mergeCell ref="I29:J29"/>
    <mergeCell ref="I30:J30"/>
    <mergeCell ref="I31:J31"/>
    <mergeCell ref="I32:J32"/>
    <mergeCell ref="I33:J33"/>
    <mergeCell ref="M37:P37"/>
    <mergeCell ref="M38:P38"/>
    <mergeCell ref="M39:P39"/>
    <mergeCell ref="L41:M41"/>
    <mergeCell ref="B1:E1"/>
    <mergeCell ref="J15:K15"/>
    <mergeCell ref="L15:M15"/>
    <mergeCell ref="N15:O15"/>
    <mergeCell ref="R15:S15"/>
    <mergeCell ref="P15:Q15"/>
    <mergeCell ref="T15:U15"/>
    <mergeCell ref="B15:C15"/>
    <mergeCell ref="F15:G15"/>
    <mergeCell ref="D15:E15"/>
    <mergeCell ref="H15:I15"/>
    <mergeCell ref="B13:C14"/>
    <mergeCell ref="J13:K13"/>
    <mergeCell ref="N13:O13"/>
    <mergeCell ref="D13:I14"/>
    <mergeCell ref="R4:S4"/>
    <mergeCell ref="T4:U4"/>
    <mergeCell ref="J5:K5"/>
    <mergeCell ref="L5:M5"/>
    <mergeCell ref="N5:O5"/>
    <mergeCell ref="B4:C4"/>
    <mergeCell ref="D4:E4"/>
    <mergeCell ref="F4:G4"/>
    <mergeCell ref="H4:I4"/>
    <mergeCell ref="J4:K4"/>
    <mergeCell ref="L4:M4"/>
    <mergeCell ref="P4:Q4"/>
    <mergeCell ref="T45:U45"/>
    <mergeCell ref="Q56:U56"/>
    <mergeCell ref="B48:D48"/>
    <mergeCell ref="E48:F48"/>
    <mergeCell ref="G48:K48"/>
    <mergeCell ref="L48:N48"/>
    <mergeCell ref="O48:P48"/>
    <mergeCell ref="Q48:U48"/>
    <mergeCell ref="B52:D52"/>
    <mergeCell ref="E52:F52"/>
    <mergeCell ref="G52:K52"/>
    <mergeCell ref="L52:N52"/>
    <mergeCell ref="O52:P52"/>
    <mergeCell ref="Q52:U52"/>
    <mergeCell ref="Q50:U50"/>
    <mergeCell ref="B51:D51"/>
    <mergeCell ref="E51:F51"/>
    <mergeCell ref="B50:D50"/>
    <mergeCell ref="G50:K50"/>
    <mergeCell ref="L50:N50"/>
    <mergeCell ref="O50:P50"/>
    <mergeCell ref="E50:F50"/>
    <mergeCell ref="B45:D45"/>
    <mergeCell ref="Q54:U54"/>
    <mergeCell ref="B57:D57"/>
    <mergeCell ref="E57:F57"/>
    <mergeCell ref="G57:K57"/>
    <mergeCell ref="L57:N57"/>
    <mergeCell ref="B56:D56"/>
    <mergeCell ref="E56:F56"/>
    <mergeCell ref="G56:K56"/>
    <mergeCell ref="L56:N56"/>
    <mergeCell ref="Q55:U55"/>
    <mergeCell ref="B46:D46"/>
    <mergeCell ref="E46:H46"/>
    <mergeCell ref="I46:J46"/>
    <mergeCell ref="K46:M46"/>
    <mergeCell ref="N46:O46"/>
    <mergeCell ref="P46:Q46"/>
    <mergeCell ref="B47:D47"/>
    <mergeCell ref="E47:H47"/>
    <mergeCell ref="I47:J47"/>
    <mergeCell ref="K47:M47"/>
    <mergeCell ref="N47:O47"/>
    <mergeCell ref="P47:Q47"/>
    <mergeCell ref="N4:O4"/>
    <mergeCell ref="O56:P56"/>
    <mergeCell ref="G54:K54"/>
    <mergeCell ref="L54:N54"/>
    <mergeCell ref="O54:P54"/>
    <mergeCell ref="B55:D55"/>
    <mergeCell ref="E55:F55"/>
    <mergeCell ref="G55:K55"/>
    <mergeCell ref="L55:N55"/>
    <mergeCell ref="O55:P55"/>
    <mergeCell ref="I34:J34"/>
    <mergeCell ref="I35:J35"/>
    <mergeCell ref="I36:J36"/>
    <mergeCell ref="I37:J37"/>
    <mergeCell ref="M35:P35"/>
    <mergeCell ref="M36:P36"/>
    <mergeCell ref="E54:F54"/>
    <mergeCell ref="H24:I24"/>
    <mergeCell ref="H25:I25"/>
    <mergeCell ref="H26:I26"/>
    <mergeCell ref="H27:I27"/>
    <mergeCell ref="D24:G24"/>
    <mergeCell ref="D25:G25"/>
    <mergeCell ref="D26:G26"/>
    <mergeCell ref="N41:O41"/>
    <mergeCell ref="P41:Q41"/>
    <mergeCell ref="K44:M44"/>
    <mergeCell ref="I44:J44"/>
    <mergeCell ref="I38:J38"/>
    <mergeCell ref="I39:J39"/>
    <mergeCell ref="P42:Q42"/>
    <mergeCell ref="M33:P33"/>
    <mergeCell ref="M34:P34"/>
    <mergeCell ref="P44:Q44"/>
    <mergeCell ref="H18:I18"/>
    <mergeCell ref="H19:I19"/>
    <mergeCell ref="H20:I20"/>
    <mergeCell ref="H21:I21"/>
    <mergeCell ref="H22:I22"/>
    <mergeCell ref="B20:C20"/>
    <mergeCell ref="B21:C21"/>
    <mergeCell ref="B22:C22"/>
    <mergeCell ref="D23:G23"/>
    <mergeCell ref="D18:G18"/>
    <mergeCell ref="D19:G19"/>
    <mergeCell ref="D20:G20"/>
    <mergeCell ref="D21:G21"/>
    <mergeCell ref="D22:G22"/>
    <mergeCell ref="H23:I23"/>
    <mergeCell ref="B16:U16"/>
    <mergeCell ref="B17:C17"/>
    <mergeCell ref="D17:G17"/>
    <mergeCell ref="H17:I17"/>
    <mergeCell ref="N44:O44"/>
    <mergeCell ref="B23:C23"/>
    <mergeCell ref="B24:C24"/>
    <mergeCell ref="B25:C25"/>
    <mergeCell ref="B26:C26"/>
    <mergeCell ref="B27:C27"/>
    <mergeCell ref="B18:C18"/>
    <mergeCell ref="B19:C19"/>
    <mergeCell ref="B40:U40"/>
    <mergeCell ref="M32:P32"/>
    <mergeCell ref="B28:U28"/>
    <mergeCell ref="B29:D29"/>
    <mergeCell ref="B30:D30"/>
    <mergeCell ref="B31:D31"/>
    <mergeCell ref="B32:D32"/>
    <mergeCell ref="B33:D33"/>
    <mergeCell ref="B34:D34"/>
    <mergeCell ref="M29:P29"/>
    <mergeCell ref="M30:P30"/>
    <mergeCell ref="M31:P31"/>
    <mergeCell ref="D5:E5"/>
    <mergeCell ref="F5:G5"/>
    <mergeCell ref="H5:I5"/>
    <mergeCell ref="B5:C5"/>
    <mergeCell ref="T10:U10"/>
    <mergeCell ref="T12:U12"/>
    <mergeCell ref="R8:S8"/>
    <mergeCell ref="T8:U8"/>
    <mergeCell ref="B7:C7"/>
    <mergeCell ref="D7:E7"/>
    <mergeCell ref="J9:K9"/>
    <mergeCell ref="L9:M9"/>
    <mergeCell ref="N9:O9"/>
    <mergeCell ref="P9:Q9"/>
    <mergeCell ref="H6:M6"/>
    <mergeCell ref="P6:Q6"/>
    <mergeCell ref="T9:U9"/>
    <mergeCell ref="H9:I9"/>
    <mergeCell ref="T7:U7"/>
    <mergeCell ref="B8:C8"/>
    <mergeCell ref="D8:E8"/>
    <mergeCell ref="B9:C9"/>
    <mergeCell ref="D9:E9"/>
    <mergeCell ref="F7:G7"/>
    <mergeCell ref="L14:M14"/>
    <mergeCell ref="P13:Q13"/>
    <mergeCell ref="P14:Q14"/>
    <mergeCell ref="J10:K10"/>
    <mergeCell ref="T13:U13"/>
    <mergeCell ref="R14:S14"/>
    <mergeCell ref="T14:U14"/>
    <mergeCell ref="R10:S10"/>
    <mergeCell ref="L10:M10"/>
    <mergeCell ref="P10:Q10"/>
    <mergeCell ref="N12:O12"/>
    <mergeCell ref="N10:O10"/>
    <mergeCell ref="R12:S12"/>
    <mergeCell ref="R13:S13"/>
    <mergeCell ref="L13:M13"/>
    <mergeCell ref="P12:Q12"/>
    <mergeCell ref="N11:O11"/>
    <mergeCell ref="P11:Q11"/>
    <mergeCell ref="R11:S11"/>
    <mergeCell ref="T11:U11"/>
    <mergeCell ref="J7:K7"/>
    <mergeCell ref="L7:M7"/>
    <mergeCell ref="N7:O7"/>
    <mergeCell ref="P7:Q7"/>
    <mergeCell ref="R7:S7"/>
    <mergeCell ref="R9:S9"/>
    <mergeCell ref="F8:G8"/>
    <mergeCell ref="H8:I8"/>
    <mergeCell ref="J8:K8"/>
    <mergeCell ref="P8:Q8"/>
    <mergeCell ref="F9:G9"/>
    <mergeCell ref="B2:U2"/>
    <mergeCell ref="B3:U3"/>
    <mergeCell ref="P5:Q5"/>
    <mergeCell ref="R5:S5"/>
    <mergeCell ref="T5:U5"/>
    <mergeCell ref="N14:O14"/>
    <mergeCell ref="B12:C12"/>
    <mergeCell ref="D10:E10"/>
    <mergeCell ref="F10:G10"/>
    <mergeCell ref="H10:I10"/>
    <mergeCell ref="J12:K12"/>
    <mergeCell ref="L8:M8"/>
    <mergeCell ref="N8:O8"/>
    <mergeCell ref="D12:I12"/>
    <mergeCell ref="L12:M12"/>
    <mergeCell ref="J14:K14"/>
    <mergeCell ref="R6:S6"/>
    <mergeCell ref="T6:U6"/>
    <mergeCell ref="B6:C6"/>
    <mergeCell ref="D6:E6"/>
    <mergeCell ref="F6:G6"/>
    <mergeCell ref="N6:O6"/>
    <mergeCell ref="B10:C10"/>
    <mergeCell ref="H7:I7"/>
    <mergeCell ref="B153:G161"/>
    <mergeCell ref="H153:U161"/>
    <mergeCell ref="B132:G136"/>
    <mergeCell ref="H132:U136"/>
    <mergeCell ref="B137:G141"/>
    <mergeCell ref="H137:U141"/>
    <mergeCell ref="L192:U192"/>
    <mergeCell ref="L193:U193"/>
    <mergeCell ref="L194:U194"/>
    <mergeCell ref="B182:U182"/>
    <mergeCell ref="B183:U183"/>
    <mergeCell ref="B184:U184"/>
    <mergeCell ref="B185:U185"/>
    <mergeCell ref="B186:U186"/>
    <mergeCell ref="B187:U187"/>
    <mergeCell ref="B188:U188"/>
    <mergeCell ref="B189:U189"/>
    <mergeCell ref="B190:U190"/>
    <mergeCell ref="B191:K191"/>
    <mergeCell ref="B192:K192"/>
    <mergeCell ref="B193:K193"/>
    <mergeCell ref="B194:K194"/>
    <mergeCell ref="B58:U58"/>
    <mergeCell ref="B75:G91"/>
    <mergeCell ref="H75:U91"/>
    <mergeCell ref="N43:O43"/>
    <mergeCell ref="P43:Q43"/>
    <mergeCell ref="R43:S43"/>
    <mergeCell ref="T43:U43"/>
    <mergeCell ref="B49:D49"/>
    <mergeCell ref="E49:F49"/>
    <mergeCell ref="G51:K51"/>
    <mergeCell ref="L51:N51"/>
    <mergeCell ref="O51:P51"/>
    <mergeCell ref="Q51:U51"/>
    <mergeCell ref="G49:K49"/>
    <mergeCell ref="L49:N49"/>
    <mergeCell ref="O49:P49"/>
    <mergeCell ref="Q49:U49"/>
    <mergeCell ref="E45:H45"/>
    <mergeCell ref="I45:J45"/>
    <mergeCell ref="K45:M45"/>
    <mergeCell ref="N45:O45"/>
    <mergeCell ref="P45:Q45"/>
    <mergeCell ref="O57:U57"/>
    <mergeCell ref="B54:D54"/>
    <mergeCell ref="R41:S41"/>
    <mergeCell ref="T41:U41"/>
    <mergeCell ref="B44:D44"/>
    <mergeCell ref="E44:H44"/>
    <mergeCell ref="R44:S44"/>
    <mergeCell ref="T44:U44"/>
    <mergeCell ref="B53:D53"/>
    <mergeCell ref="E53:F53"/>
    <mergeCell ref="G53:K53"/>
    <mergeCell ref="L53:N53"/>
    <mergeCell ref="O53:P53"/>
    <mergeCell ref="Q53:U53"/>
    <mergeCell ref="B42:D42"/>
    <mergeCell ref="E42:H42"/>
    <mergeCell ref="I42:K42"/>
    <mergeCell ref="L42:M42"/>
    <mergeCell ref="N42:O42"/>
    <mergeCell ref="R42:S42"/>
    <mergeCell ref="T42:U42"/>
    <mergeCell ref="B43:D43"/>
    <mergeCell ref="E43:H43"/>
    <mergeCell ref="I43:K43"/>
    <mergeCell ref="L43:M43"/>
    <mergeCell ref="R45:S45"/>
    <mergeCell ref="H92:U109"/>
    <mergeCell ref="B110:G119"/>
    <mergeCell ref="H110:U119"/>
    <mergeCell ref="B59:G74"/>
    <mergeCell ref="H59:U74"/>
    <mergeCell ref="L191:U191"/>
    <mergeCell ref="B176:U176"/>
    <mergeCell ref="B177:U177"/>
    <mergeCell ref="B178:U178"/>
    <mergeCell ref="B179:U179"/>
    <mergeCell ref="B180:U180"/>
    <mergeCell ref="B181:U181"/>
    <mergeCell ref="B92:G109"/>
    <mergeCell ref="B162:G169"/>
    <mergeCell ref="H162:U169"/>
    <mergeCell ref="B170:G174"/>
    <mergeCell ref="H170:U174"/>
    <mergeCell ref="B175:U175"/>
    <mergeCell ref="B120:G126"/>
    <mergeCell ref="H120:U126"/>
    <mergeCell ref="B127:G131"/>
    <mergeCell ref="H127:U131"/>
    <mergeCell ref="B142:G152"/>
    <mergeCell ref="H142:U152"/>
    <mergeCell ref="B197:U197"/>
    <mergeCell ref="J198:K198"/>
    <mergeCell ref="L198:U198"/>
    <mergeCell ref="J204:K204"/>
    <mergeCell ref="L204:U204"/>
    <mergeCell ref="B195:K195"/>
    <mergeCell ref="B196:K196"/>
    <mergeCell ref="L195:U195"/>
    <mergeCell ref="L196:U196"/>
    <mergeCell ref="L199:U199"/>
    <mergeCell ref="C201:E201"/>
    <mergeCell ref="F201:I201"/>
    <mergeCell ref="J201:K201"/>
    <mergeCell ref="L201:U201"/>
    <mergeCell ref="C202:E202"/>
    <mergeCell ref="F202:I202"/>
    <mergeCell ref="J202:K202"/>
    <mergeCell ref="L202:U202"/>
    <mergeCell ref="C203:E203"/>
    <mergeCell ref="F203:I203"/>
    <mergeCell ref="J203:K203"/>
    <mergeCell ref="L203:U203"/>
    <mergeCell ref="C204:E204"/>
    <mergeCell ref="F204:I204"/>
    <mergeCell ref="B236:F236"/>
    <mergeCell ref="B237:F237"/>
    <mergeCell ref="G236:J236"/>
    <mergeCell ref="G237:J237"/>
    <mergeCell ref="G235:J235"/>
    <mergeCell ref="G233:J233"/>
    <mergeCell ref="B232:F232"/>
    <mergeCell ref="B233:F233"/>
    <mergeCell ref="B229:F229"/>
    <mergeCell ref="B230:F230"/>
    <mergeCell ref="B231:F231"/>
    <mergeCell ref="G229:J229"/>
    <mergeCell ref="G234:J234"/>
    <mergeCell ref="G231:J231"/>
    <mergeCell ref="B234:F234"/>
    <mergeCell ref="B235:F235"/>
    <mergeCell ref="G232:J232"/>
    <mergeCell ref="G230:H230"/>
    <mergeCell ref="J205:K205"/>
    <mergeCell ref="C198:E198"/>
    <mergeCell ref="C199:E199"/>
    <mergeCell ref="F198:I198"/>
    <mergeCell ref="B213:U213"/>
    <mergeCell ref="J208:K208"/>
    <mergeCell ref="L208:U208"/>
    <mergeCell ref="B209:U209"/>
    <mergeCell ref="B210:U210"/>
    <mergeCell ref="C205:E205"/>
    <mergeCell ref="F205:I205"/>
    <mergeCell ref="J199:K199"/>
    <mergeCell ref="L205:U205"/>
    <mergeCell ref="F199:I199"/>
    <mergeCell ref="C200:E200"/>
    <mergeCell ref="F200:I200"/>
    <mergeCell ref="J200:K200"/>
    <mergeCell ref="L200:U200"/>
    <mergeCell ref="B214:U214"/>
    <mergeCell ref="C207:E207"/>
    <mergeCell ref="B224:U224"/>
    <mergeCell ref="B225:U225"/>
    <mergeCell ref="B215:U215"/>
    <mergeCell ref="B216:U216"/>
    <mergeCell ref="B217:U217"/>
    <mergeCell ref="B218:U218"/>
    <mergeCell ref="B219:U219"/>
    <mergeCell ref="B220:U220"/>
    <mergeCell ref="B222:U222"/>
    <mergeCell ref="B223:U223"/>
    <mergeCell ref="F207:I207"/>
    <mergeCell ref="J207:K207"/>
    <mergeCell ref="L207:U207"/>
    <mergeCell ref="C208:E208"/>
    <mergeCell ref="F208:I208"/>
    <mergeCell ref="B221:U221"/>
    <mergeCell ref="K229:U233"/>
    <mergeCell ref="K234:U237"/>
    <mergeCell ref="A190:A196"/>
    <mergeCell ref="A197:A208"/>
    <mergeCell ref="A209:A226"/>
    <mergeCell ref="A227:A237"/>
    <mergeCell ref="A4:A15"/>
    <mergeCell ref="A40:A57"/>
    <mergeCell ref="A16:A27"/>
    <mergeCell ref="A28:A39"/>
    <mergeCell ref="A175:A185"/>
    <mergeCell ref="A58:A141"/>
    <mergeCell ref="A142:A174"/>
    <mergeCell ref="C206:E206"/>
    <mergeCell ref="F206:I206"/>
    <mergeCell ref="J206:K206"/>
    <mergeCell ref="L206:U206"/>
    <mergeCell ref="K228:U228"/>
    <mergeCell ref="B228:F228"/>
    <mergeCell ref="G228:J228"/>
    <mergeCell ref="B226:U226"/>
    <mergeCell ref="B227:U227"/>
    <mergeCell ref="B211:U211"/>
    <mergeCell ref="B212:U212"/>
  </mergeCells>
  <dataValidations xWindow="273" yWindow="378" count="39">
    <dataValidation type="list" allowBlank="1" showInputMessage="1" showErrorMessage="1" sqref="L4:M4">
      <formula1>"Ahmedabad, Bangalore, Chandigarh, Chennai, Delhi, Hyderabad, Jaipur, Mumbai, Pune, Kolkata, Lucknow, Delhi/NCR"</formula1>
    </dataValidation>
    <dataValidation type="list" allowBlank="1" showInputMessage="1" showErrorMessage="1" sqref="D5:E5">
      <formula1>"Direct, DSA, Referral / Connector"</formula1>
    </dataValidation>
    <dataValidation type="textLength" allowBlank="1" showInputMessage="1" showErrorMessage="1" sqref="T9 L8:L9 P8:P9">
      <formula1>1</formula1>
      <formula2>150</formula2>
    </dataValidation>
    <dataValidation type="textLength" allowBlank="1" showInputMessage="1" showErrorMessage="1" sqref="I8:I9 H8:H11">
      <formula1>1</formula1>
      <formula2>50</formula2>
    </dataValidation>
    <dataValidation type="decimal" allowBlank="1" showInputMessage="1" showErrorMessage="1" sqref="D10:E10">
      <formula1>0</formula1>
      <formula2>5</formula2>
    </dataValidation>
    <dataValidation type="list" allowBlank="1" showInputMessage="1" showErrorMessage="1" sqref="L12:M12">
      <formula1>"DI,Hospital,LAB,Nursing Home,Clinic,Physiotherapy Clinic,Others"</formula1>
    </dataValidation>
    <dataValidation type="list" allowBlank="1" showInputMessage="1" showErrorMessage="1" sqref="P12:Q12">
      <formula1>"Start Up, Non-Start Up"</formula1>
    </dataValidation>
    <dataValidation type="list" allowBlank="1" showInputMessage="1" showErrorMessage="1" sqref="R30:R39 L14:M14">
      <formula1>"Owned, Rented"</formula1>
    </dataValidation>
    <dataValidation type="list" allowBlank="1" showInputMessage="1" showErrorMessage="1" sqref="D6:E6">
      <formula1>"New Customer, Existing Customer"</formula1>
    </dataValidation>
    <dataValidation type="list" allowBlank="1" showInputMessage="1" showErrorMessage="1" sqref="B18:C27">
      <formula1>"Applicant, Co-Applicant, Guarantor"</formula1>
    </dataValidation>
    <dataValidation type="list" allowBlank="1" showInputMessage="1" showErrorMessage="1" sqref="H18:I27">
      <formula1>Constitution_Designation</formula1>
    </dataValidation>
    <dataValidation type="whole" allowBlank="1" showInputMessage="1" showErrorMessage="1" sqref="D9:E9">
      <formula1>6</formula1>
      <formula2>180</formula2>
    </dataValidation>
    <dataValidation type="list" allowBlank="1" showInputMessage="1" showErrorMessage="1" sqref="S30:S39">
      <formula1>"Positive, Negative, Referred, Waived, Pending"</formula1>
    </dataValidation>
    <dataValidation type="list" allowBlank="1" showInputMessage="1" showErrorMessage="1" sqref="E41">
      <formula1>SIC_Industry</formula1>
    </dataValidation>
    <dataValidation type="list" allowBlank="1" showInputMessage="1" showErrorMessage="1" sqref="P41:Q41">
      <formula1>"Current, 30-89 DPD"</formula1>
    </dataValidation>
    <dataValidation type="list" allowBlank="1" showInputMessage="1" showErrorMessage="1" sqref="T41:U41">
      <formula1>"DI,Non-DI,All"</formula1>
    </dataValidation>
    <dataValidation type="list" allowBlank="1" showInputMessage="1" showErrorMessage="1" sqref="E42:H42 T44:U44">
      <formula1>"Low,Medium,High"</formula1>
    </dataValidation>
    <dataValidation type="list" allowBlank="1" showInputMessage="1" showErrorMessage="1" sqref="E49:E53 O49:O52">
      <formula1>"Positive, Negative, Referred, Waived, Pending,NA"</formula1>
    </dataValidation>
    <dataValidation type="list" allowBlank="1" showInputMessage="1" showErrorMessage="1" sqref="O53:P53">
      <formula1>"Micro, Small, Medium, NA"</formula1>
    </dataValidation>
    <dataValidation type="list" allowBlank="1" showInputMessage="1" showErrorMessage="1" sqref="E55:F55">
      <formula1>"Match, No Match, NA"</formula1>
    </dataValidation>
    <dataValidation type="date" allowBlank="1" showInputMessage="1" showErrorMessage="1" sqref="D4:E4">
      <formula1>44044</formula1>
      <formula2>TODAY()</formula2>
    </dataValidation>
    <dataValidation type="decimal" allowBlank="1" showInputMessage="1" showErrorMessage="1" sqref="D8:E8">
      <formula1>0</formula1>
      <formula2>1000</formula2>
    </dataValidation>
    <dataValidation allowBlank="1" showInputMessage="1" showErrorMessage="1" prompt="Enter Only Key Promoter Details in this Row" sqref="D19:G19"/>
    <dataValidation type="list" allowBlank="1" showInputMessage="1" showErrorMessage="1" sqref="K31">
      <formula1>"Specialist,MBBS,Others"</formula1>
    </dataValidation>
    <dataValidation type="list" allowBlank="1" showInputMessage="1" showErrorMessage="1" sqref="F199:I208">
      <formula1>INDIRECT(SUBSTITUTE(C199," ","_"))</formula1>
    </dataValidation>
    <dataValidation type="list" allowBlank="1" showInputMessage="1" showErrorMessage="1" sqref="P10:Q10 L10:M10">
      <formula1>"NA,1M,2M,3M,4M,5M,6M,7M,8M,9M,10M"</formula1>
    </dataValidation>
    <dataValidation allowBlank="1" showInputMessage="1" showErrorMessage="1" prompt="If Funding is Individual, please enter details in Row:18" sqref="D18:G18"/>
    <dataValidation type="whole" allowBlank="1" showInputMessage="1" showErrorMessage="1" sqref="L30:L39">
      <formula1>0</formula1>
      <formula2>50</formula2>
    </dataValidation>
    <dataValidation type="list" allowBlank="1" showInputMessage="1" showErrorMessage="1" sqref="E56:F57 O55:P56">
      <formula1>"Yes,No,NA"</formula1>
    </dataValidation>
    <dataValidation type="list" allowBlank="1" showInputMessage="1" showErrorMessage="1" sqref="L42:M42 T15:U15">
      <formula1>"Category A, Category B, Category C"</formula1>
    </dataValidation>
    <dataValidation type="whole" allowBlank="1" showInputMessage="1" showErrorMessage="1" sqref="N20:N27 N18">
      <formula1>0</formula1>
      <formula2>1000</formula2>
    </dataValidation>
    <dataValidation type="list" allowBlank="1" showInputMessage="1" showErrorMessage="1" sqref="P11:Q11">
      <formula1>"Doctor, Non-Doctor"</formula1>
    </dataValidation>
    <dataValidation type="list" allowBlank="1" showInputMessage="1" showErrorMessage="1" sqref="D11:E11">
      <formula1>"New, Used, Refurbished"</formula1>
    </dataValidation>
    <dataValidation type="list" allowBlank="1" showInputMessage="1" showErrorMessage="1" sqref="E46:H46">
      <formula1>"Manufacturing, Services, Trading"</formula1>
    </dataValidation>
    <dataValidation type="whole" allowBlank="1" showInputMessage="1" showErrorMessage="1" sqref="K46:M47">
      <formula1>0</formula1>
      <formula2>200000</formula2>
    </dataValidation>
    <dataValidation type="list" allowBlank="1" showInputMessage="1" showErrorMessage="1" sqref="P46:P47 Q46">
      <formula1>"Micro, Small, Medium, Non-PSL"</formula1>
    </dataValidation>
    <dataValidation type="list" allowBlank="1" showInputMessage="1" showErrorMessage="1" sqref="L5:M5">
      <formula1>"HFS,EF, Doctor BL"</formula1>
    </dataValidation>
    <dataValidation type="list" allowBlank="1" showInputMessage="1" showErrorMessage="1" sqref="P5:Q5">
      <formula1>"Retail, Core, Doctor BL"</formula1>
    </dataValidation>
    <dataValidation type="decimal" allowBlank="1" showInputMessage="1" showErrorMessage="1" sqref="E47:H47">
      <formula1>0</formula1>
      <formula2>100000000</formula2>
    </dataValidation>
  </dataValidations>
  <pageMargins left="0.7" right="0.7" top="0.75" bottom="0.75" header="0.3" footer="0.3"/>
  <pageSetup orientation="portrait" r:id="rId1"/>
  <headerFooter>
    <oddFooter>&amp;C&amp;1#&amp;"Calibri"&amp;10&amp;K000000Clix Internal Circulation Only</oddFooter>
  </headerFooter>
  <ignoredErrors>
    <ignoredError sqref="L11" unlockedFormula="1"/>
  </ignoredErrors>
  <drawing r:id="rId2"/>
  <extLst>
    <ext xmlns:x14="http://schemas.microsoft.com/office/spreadsheetml/2009/9/main" uri="{CCE6A557-97BC-4b89-ADB6-D9C93CAAB3DF}">
      <x14:dataValidations xmlns:xm="http://schemas.microsoft.com/office/excel/2006/main" xWindow="273" yWindow="378" count="4">
        <x14:dataValidation type="list" allowBlank="1" showInputMessage="1" showErrorMessage="1">
          <x14:formula1>
            <xm:f>Workings!$B$69:$B$72</xm:f>
          </x14:formula1>
          <xm:sqref>T42:U42</xm:sqref>
        </x14:dataValidation>
        <x14:dataValidation type="list" allowBlank="1" showInputMessage="1" showErrorMessage="1">
          <x14:formula1>
            <xm:f>Workings!$M$2:$M$12</xm:f>
          </x14:formula1>
          <xm:sqref>K18</xm:sqref>
        </x14:dataValidation>
        <x14:dataValidation type="list" allowBlank="1" showInputMessage="1" showErrorMessage="1">
          <x14:formula1>
            <xm:f>Workings!$D$38:$D$40</xm:f>
          </x14:formula1>
          <xm:sqref>E45:H45</xm:sqref>
        </x14:dataValidation>
        <x14:dataValidation type="list" allowBlank="1" showInputMessage="1" showErrorMessage="1">
          <x14:formula1>
            <xm:f>Deviations!$E$1:$M$1</xm:f>
          </x14:formula1>
          <xm:sqref>C199:E208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6"/>
  <sheetViews>
    <sheetView workbookViewId="0">
      <selection activeCell="A41" sqref="A41"/>
    </sheetView>
  </sheetViews>
  <sheetFormatPr defaultColWidth="16.7109375" defaultRowHeight="15"/>
  <cols>
    <col min="1" max="1" width="33.85546875" style="316" bestFit="1" customWidth="1"/>
    <col min="2" max="208" width="16.7109375" style="130"/>
    <col min="209" max="209" width="28.85546875" style="130" customWidth="1"/>
    <col min="210" max="464" width="16.7109375" style="130"/>
    <col min="465" max="465" width="28.85546875" style="130" customWidth="1"/>
    <col min="466" max="720" width="16.7109375" style="130"/>
    <col min="721" max="721" width="28.85546875" style="130" customWidth="1"/>
    <col min="722" max="976" width="16.7109375" style="130"/>
    <col min="977" max="977" width="28.85546875" style="130" customWidth="1"/>
    <col min="978" max="1232" width="16.7109375" style="130"/>
    <col min="1233" max="1233" width="28.85546875" style="130" customWidth="1"/>
    <col min="1234" max="1488" width="16.7109375" style="130"/>
    <col min="1489" max="1489" width="28.85546875" style="130" customWidth="1"/>
    <col min="1490" max="1744" width="16.7109375" style="130"/>
    <col min="1745" max="1745" width="28.85546875" style="130" customWidth="1"/>
    <col min="1746" max="2000" width="16.7109375" style="130"/>
    <col min="2001" max="2001" width="28.85546875" style="130" customWidth="1"/>
    <col min="2002" max="2256" width="16.7109375" style="130"/>
    <col min="2257" max="2257" width="28.85546875" style="130" customWidth="1"/>
    <col min="2258" max="2512" width="16.7109375" style="130"/>
    <col min="2513" max="2513" width="28.85546875" style="130" customWidth="1"/>
    <col min="2514" max="2768" width="16.7109375" style="130"/>
    <col min="2769" max="2769" width="28.85546875" style="130" customWidth="1"/>
    <col min="2770" max="3024" width="16.7109375" style="130"/>
    <col min="3025" max="3025" width="28.85546875" style="130" customWidth="1"/>
    <col min="3026" max="3280" width="16.7109375" style="130"/>
    <col min="3281" max="3281" width="28.85546875" style="130" customWidth="1"/>
    <col min="3282" max="3536" width="16.7109375" style="130"/>
    <col min="3537" max="3537" width="28.85546875" style="130" customWidth="1"/>
    <col min="3538" max="3792" width="16.7109375" style="130"/>
    <col min="3793" max="3793" width="28.85546875" style="130" customWidth="1"/>
    <col min="3794" max="4048" width="16.7109375" style="130"/>
    <col min="4049" max="4049" width="28.85546875" style="130" customWidth="1"/>
    <col min="4050" max="4304" width="16.7109375" style="130"/>
    <col min="4305" max="4305" width="28.85546875" style="130" customWidth="1"/>
    <col min="4306" max="4560" width="16.7109375" style="130"/>
    <col min="4561" max="4561" width="28.85546875" style="130" customWidth="1"/>
    <col min="4562" max="4816" width="16.7109375" style="130"/>
    <col min="4817" max="4817" width="28.85546875" style="130" customWidth="1"/>
    <col min="4818" max="5072" width="16.7109375" style="130"/>
    <col min="5073" max="5073" width="28.85546875" style="130" customWidth="1"/>
    <col min="5074" max="5328" width="16.7109375" style="130"/>
    <col min="5329" max="5329" width="28.85546875" style="130" customWidth="1"/>
    <col min="5330" max="5584" width="16.7109375" style="130"/>
    <col min="5585" max="5585" width="28.85546875" style="130" customWidth="1"/>
    <col min="5586" max="5840" width="16.7109375" style="130"/>
    <col min="5841" max="5841" width="28.85546875" style="130" customWidth="1"/>
    <col min="5842" max="6096" width="16.7109375" style="130"/>
    <col min="6097" max="6097" width="28.85546875" style="130" customWidth="1"/>
    <col min="6098" max="6352" width="16.7109375" style="130"/>
    <col min="6353" max="6353" width="28.85546875" style="130" customWidth="1"/>
    <col min="6354" max="6608" width="16.7109375" style="130"/>
    <col min="6609" max="6609" width="28.85546875" style="130" customWidth="1"/>
    <col min="6610" max="6864" width="16.7109375" style="130"/>
    <col min="6865" max="6865" width="28.85546875" style="130" customWidth="1"/>
    <col min="6866" max="7120" width="16.7109375" style="130"/>
    <col min="7121" max="7121" width="28.85546875" style="130" customWidth="1"/>
    <col min="7122" max="7376" width="16.7109375" style="130"/>
    <col min="7377" max="7377" width="28.85546875" style="130" customWidth="1"/>
    <col min="7378" max="7632" width="16.7109375" style="130"/>
    <col min="7633" max="7633" width="28.85546875" style="130" customWidth="1"/>
    <col min="7634" max="7888" width="16.7109375" style="130"/>
    <col min="7889" max="7889" width="28.85546875" style="130" customWidth="1"/>
    <col min="7890" max="8144" width="16.7109375" style="130"/>
    <col min="8145" max="8145" width="28.85546875" style="130" customWidth="1"/>
    <col min="8146" max="8400" width="16.7109375" style="130"/>
    <col min="8401" max="8401" width="28.85546875" style="130" customWidth="1"/>
    <col min="8402" max="8656" width="16.7109375" style="130"/>
    <col min="8657" max="8657" width="28.85546875" style="130" customWidth="1"/>
    <col min="8658" max="8912" width="16.7109375" style="130"/>
    <col min="8913" max="8913" width="28.85546875" style="130" customWidth="1"/>
    <col min="8914" max="9168" width="16.7109375" style="130"/>
    <col min="9169" max="9169" width="28.85546875" style="130" customWidth="1"/>
    <col min="9170" max="9424" width="16.7109375" style="130"/>
    <col min="9425" max="9425" width="28.85546875" style="130" customWidth="1"/>
    <col min="9426" max="9680" width="16.7109375" style="130"/>
    <col min="9681" max="9681" width="28.85546875" style="130" customWidth="1"/>
    <col min="9682" max="9936" width="16.7109375" style="130"/>
    <col min="9937" max="9937" width="28.85546875" style="130" customWidth="1"/>
    <col min="9938" max="10192" width="16.7109375" style="130"/>
    <col min="10193" max="10193" width="28.85546875" style="130" customWidth="1"/>
    <col min="10194" max="10448" width="16.7109375" style="130"/>
    <col min="10449" max="10449" width="28.85546875" style="130" customWidth="1"/>
    <col min="10450" max="10704" width="16.7109375" style="130"/>
    <col min="10705" max="10705" width="28.85546875" style="130" customWidth="1"/>
    <col min="10706" max="10960" width="16.7109375" style="130"/>
    <col min="10961" max="10961" width="28.85546875" style="130" customWidth="1"/>
    <col min="10962" max="11216" width="16.7109375" style="130"/>
    <col min="11217" max="11217" width="28.85546875" style="130" customWidth="1"/>
    <col min="11218" max="11472" width="16.7109375" style="130"/>
    <col min="11473" max="11473" width="28.85546875" style="130" customWidth="1"/>
    <col min="11474" max="11728" width="16.7109375" style="130"/>
    <col min="11729" max="11729" width="28.85546875" style="130" customWidth="1"/>
    <col min="11730" max="11984" width="16.7109375" style="130"/>
    <col min="11985" max="11985" width="28.85546875" style="130" customWidth="1"/>
    <col min="11986" max="12240" width="16.7109375" style="130"/>
    <col min="12241" max="12241" width="28.85546875" style="130" customWidth="1"/>
    <col min="12242" max="12496" width="16.7109375" style="130"/>
    <col min="12497" max="12497" width="28.85546875" style="130" customWidth="1"/>
    <col min="12498" max="12752" width="16.7109375" style="130"/>
    <col min="12753" max="12753" width="28.85546875" style="130" customWidth="1"/>
    <col min="12754" max="13008" width="16.7109375" style="130"/>
    <col min="13009" max="13009" width="28.85546875" style="130" customWidth="1"/>
    <col min="13010" max="13264" width="16.7109375" style="130"/>
    <col min="13265" max="13265" width="28.85546875" style="130" customWidth="1"/>
    <col min="13266" max="13520" width="16.7109375" style="130"/>
    <col min="13521" max="13521" width="28.85546875" style="130" customWidth="1"/>
    <col min="13522" max="13776" width="16.7109375" style="130"/>
    <col min="13777" max="13777" width="28.85546875" style="130" customWidth="1"/>
    <col min="13778" max="14032" width="16.7109375" style="130"/>
    <col min="14033" max="14033" width="28.85546875" style="130" customWidth="1"/>
    <col min="14034" max="14288" width="16.7109375" style="130"/>
    <col min="14289" max="14289" width="28.85546875" style="130" customWidth="1"/>
    <col min="14290" max="14544" width="16.7109375" style="130"/>
    <col min="14545" max="14545" width="28.85546875" style="130" customWidth="1"/>
    <col min="14546" max="14800" width="16.7109375" style="130"/>
    <col min="14801" max="14801" width="28.85546875" style="130" customWidth="1"/>
    <col min="14802" max="15056" width="16.7109375" style="130"/>
    <col min="15057" max="15057" width="28.85546875" style="130" customWidth="1"/>
    <col min="15058" max="15312" width="16.7109375" style="130"/>
    <col min="15313" max="15313" width="28.85546875" style="130" customWidth="1"/>
    <col min="15314" max="15568" width="16.7109375" style="130"/>
    <col min="15569" max="15569" width="28.85546875" style="130" customWidth="1"/>
    <col min="15570" max="15824" width="16.7109375" style="130"/>
    <col min="15825" max="15825" width="28.85546875" style="130" customWidth="1"/>
    <col min="15826" max="16080" width="16.7109375" style="130"/>
    <col min="16081" max="16081" width="28.85546875" style="130" customWidth="1"/>
    <col min="16082" max="16384" width="16.7109375" style="130"/>
  </cols>
  <sheetData>
    <row r="1" spans="1:8" s="77" customFormat="1" ht="21">
      <c r="A1" s="728" t="s">
        <v>1753</v>
      </c>
      <c r="B1" s="728"/>
      <c r="C1" s="728"/>
      <c r="D1" s="728"/>
      <c r="E1" s="728"/>
      <c r="F1" s="728"/>
    </row>
    <row r="2" spans="1:8">
      <c r="A2" s="311" t="s">
        <v>1387</v>
      </c>
      <c r="B2" s="286" t="s">
        <v>1729</v>
      </c>
      <c r="C2" s="286" t="s">
        <v>1730</v>
      </c>
      <c r="D2" s="286" t="s">
        <v>1731</v>
      </c>
      <c r="E2" s="286" t="s">
        <v>1732</v>
      </c>
      <c r="F2" s="286" t="s">
        <v>1733</v>
      </c>
    </row>
    <row r="3" spans="1:8">
      <c r="A3" s="736" t="s">
        <v>1734</v>
      </c>
      <c r="B3" s="737"/>
      <c r="C3" s="737"/>
      <c r="D3" s="737"/>
      <c r="E3" s="737"/>
      <c r="F3" s="738"/>
    </row>
    <row r="4" spans="1:8">
      <c r="A4" s="308" t="s">
        <v>1858</v>
      </c>
      <c r="B4" s="278">
        <v>10</v>
      </c>
      <c r="C4" s="279">
        <f>B4*1.1</f>
        <v>11</v>
      </c>
      <c r="D4" s="279">
        <f t="shared" ref="D4:F4" si="0">C4*1.1</f>
        <v>12.100000000000001</v>
      </c>
      <c r="E4" s="279">
        <f t="shared" si="0"/>
        <v>13.310000000000002</v>
      </c>
      <c r="F4" s="279">
        <f t="shared" si="0"/>
        <v>14.641000000000004</v>
      </c>
    </row>
    <row r="5" spans="1:8">
      <c r="A5" s="308" t="s">
        <v>1848</v>
      </c>
      <c r="B5" s="278">
        <v>0</v>
      </c>
      <c r="C5" s="279">
        <f t="shared" ref="C5:F5" si="1">B5*1.1</f>
        <v>0</v>
      </c>
      <c r="D5" s="279">
        <f t="shared" si="1"/>
        <v>0</v>
      </c>
      <c r="E5" s="279">
        <f t="shared" si="1"/>
        <v>0</v>
      </c>
      <c r="F5" s="279">
        <f t="shared" si="1"/>
        <v>0</v>
      </c>
    </row>
    <row r="6" spans="1:8">
      <c r="A6" s="308" t="s">
        <v>1849</v>
      </c>
      <c r="B6" s="278">
        <v>0</v>
      </c>
      <c r="C6" s="278">
        <v>0</v>
      </c>
      <c r="D6" s="278">
        <v>0</v>
      </c>
      <c r="E6" s="278">
        <v>0</v>
      </c>
      <c r="F6" s="278">
        <v>0</v>
      </c>
    </row>
    <row r="7" spans="1:8">
      <c r="A7" s="308" t="s">
        <v>1832</v>
      </c>
      <c r="B7" s="278"/>
      <c r="C7" s="278"/>
      <c r="D7" s="278"/>
      <c r="E7" s="279"/>
      <c r="F7" s="279"/>
    </row>
    <row r="8" spans="1:8">
      <c r="A8" s="308" t="s">
        <v>1834</v>
      </c>
      <c r="B8" s="278">
        <v>4000</v>
      </c>
      <c r="C8" s="279">
        <f t="shared" ref="C8:F8" si="2">B8*1.1</f>
        <v>4400</v>
      </c>
      <c r="D8" s="279">
        <f t="shared" si="2"/>
        <v>4840</v>
      </c>
      <c r="E8" s="279">
        <f t="shared" si="2"/>
        <v>5324</v>
      </c>
      <c r="F8" s="279">
        <f t="shared" si="2"/>
        <v>5856.4000000000005</v>
      </c>
    </row>
    <row r="9" spans="1:8">
      <c r="A9" s="308" t="s">
        <v>1834</v>
      </c>
      <c r="B9" s="278">
        <v>0</v>
      </c>
      <c r="C9" s="278">
        <v>0</v>
      </c>
      <c r="D9" s="278">
        <v>0</v>
      </c>
      <c r="E9" s="278">
        <v>0</v>
      </c>
      <c r="F9" s="278">
        <v>0</v>
      </c>
    </row>
    <row r="10" spans="1:8">
      <c r="A10" s="308" t="s">
        <v>1847</v>
      </c>
      <c r="B10" s="278">
        <v>0</v>
      </c>
      <c r="C10" s="278">
        <v>0</v>
      </c>
      <c r="D10" s="278">
        <v>0</v>
      </c>
      <c r="E10" s="278">
        <v>0</v>
      </c>
      <c r="F10" s="278">
        <v>0</v>
      </c>
    </row>
    <row r="11" spans="1:8">
      <c r="A11" s="308" t="s">
        <v>1833</v>
      </c>
      <c r="B11" s="278">
        <v>0</v>
      </c>
      <c r="C11" s="278">
        <v>0</v>
      </c>
      <c r="D11" s="278">
        <v>0</v>
      </c>
      <c r="E11" s="278">
        <v>0</v>
      </c>
      <c r="F11" s="278">
        <v>0</v>
      </c>
    </row>
    <row r="12" spans="1:8">
      <c r="A12" s="308" t="s">
        <v>1777</v>
      </c>
      <c r="B12" s="278">
        <v>360</v>
      </c>
      <c r="C12" s="278">
        <v>360</v>
      </c>
      <c r="D12" s="278">
        <v>360</v>
      </c>
      <c r="E12" s="278">
        <v>360</v>
      </c>
      <c r="F12" s="278">
        <v>360</v>
      </c>
    </row>
    <row r="13" spans="1:8">
      <c r="A13" s="309" t="s">
        <v>1775</v>
      </c>
      <c r="B13" s="278">
        <f>(B4*B8)+(B5*B9)+(B6*B10)</f>
        <v>40000</v>
      </c>
      <c r="C13" s="278">
        <f t="shared" ref="C13:C14" si="3">B13*1.05</f>
        <v>42000</v>
      </c>
      <c r="D13" s="279">
        <f t="shared" ref="D13:F13" si="4">C13*1.1</f>
        <v>46200.000000000007</v>
      </c>
      <c r="E13" s="279">
        <f t="shared" si="4"/>
        <v>50820.000000000015</v>
      </c>
      <c r="F13" s="279">
        <f t="shared" si="4"/>
        <v>55902.000000000022</v>
      </c>
    </row>
    <row r="14" spans="1:8">
      <c r="A14" s="310" t="s">
        <v>1735</v>
      </c>
      <c r="B14" s="278">
        <f>B12*B13</f>
        <v>14400000</v>
      </c>
      <c r="C14" s="278">
        <f t="shared" si="3"/>
        <v>15120000</v>
      </c>
      <c r="D14" s="279">
        <f t="shared" ref="D14:F14" si="5">C14*1.1</f>
        <v>16632000.000000002</v>
      </c>
      <c r="E14" s="279">
        <f t="shared" si="5"/>
        <v>18295200.000000004</v>
      </c>
      <c r="F14" s="279">
        <f t="shared" si="5"/>
        <v>20124720.000000007</v>
      </c>
      <c r="H14" s="469"/>
    </row>
    <row r="15" spans="1:8" s="291" customFormat="1">
      <c r="A15" s="312"/>
      <c r="B15" s="280"/>
      <c r="C15" s="280"/>
      <c r="D15" s="280"/>
      <c r="E15" s="280"/>
      <c r="F15" s="280"/>
    </row>
    <row r="16" spans="1:8">
      <c r="A16" s="308" t="s">
        <v>1781</v>
      </c>
      <c r="B16" s="278"/>
      <c r="C16" s="278"/>
      <c r="D16" s="278"/>
      <c r="E16" s="278"/>
      <c r="F16" s="278"/>
    </row>
    <row r="17" spans="1:8">
      <c r="A17" s="308" t="s">
        <v>1758</v>
      </c>
      <c r="B17" s="408"/>
      <c r="C17" s="278"/>
      <c r="D17" s="278"/>
      <c r="E17" s="278"/>
      <c r="F17" s="278"/>
    </row>
    <row r="18" spans="1:8">
      <c r="A18" s="308" t="s">
        <v>1784</v>
      </c>
      <c r="B18" s="278"/>
      <c r="C18" s="278"/>
      <c r="D18" s="278"/>
      <c r="E18" s="278"/>
      <c r="F18" s="278"/>
    </row>
    <row r="19" spans="1:8">
      <c r="A19" s="308" t="s">
        <v>1786</v>
      </c>
      <c r="B19" s="345"/>
      <c r="C19" s="345"/>
      <c r="D19" s="345"/>
      <c r="E19" s="294"/>
      <c r="F19" s="346"/>
    </row>
    <row r="20" spans="1:8">
      <c r="A20" s="308" t="s">
        <v>1783</v>
      </c>
      <c r="B20" s="278"/>
      <c r="C20" s="278"/>
      <c r="D20" s="278"/>
      <c r="E20" s="278"/>
      <c r="F20" s="278"/>
    </row>
    <row r="21" spans="1:8">
      <c r="A21" s="308" t="s">
        <v>1761</v>
      </c>
      <c r="B21" s="278"/>
      <c r="C21" s="278"/>
      <c r="D21" s="278"/>
      <c r="E21" s="278"/>
      <c r="F21" s="278"/>
    </row>
    <row r="22" spans="1:8">
      <c r="A22" s="308" t="s">
        <v>1785</v>
      </c>
      <c r="B22" s="278"/>
      <c r="C22" s="278"/>
      <c r="D22" s="278"/>
      <c r="E22" s="278"/>
      <c r="F22" s="278"/>
    </row>
    <row r="23" spans="1:8">
      <c r="A23" s="310" t="s">
        <v>1735</v>
      </c>
      <c r="B23" s="278">
        <f>(B17*B18)+(B21*B22)</f>
        <v>0</v>
      </c>
      <c r="C23" s="278">
        <f>(C17*C18)+(C21*C22)</f>
        <v>0</v>
      </c>
      <c r="D23" s="278">
        <f>(D17*D18)+(D21*D22)</f>
        <v>0</v>
      </c>
      <c r="E23" s="278">
        <f>(E17*E18)+(E21*E22)</f>
        <v>0</v>
      </c>
      <c r="F23" s="278">
        <f>(F17*F18)+(F21*F22)</f>
        <v>0</v>
      </c>
    </row>
    <row r="24" spans="1:8" s="291" customFormat="1">
      <c r="A24" s="313"/>
      <c r="B24" s="280"/>
      <c r="C24" s="280"/>
      <c r="D24" s="280"/>
      <c r="E24" s="280"/>
      <c r="F24" s="280"/>
    </row>
    <row r="25" spans="1:8">
      <c r="A25" s="308" t="s">
        <v>1782</v>
      </c>
      <c r="B25" s="278"/>
      <c r="C25" s="278"/>
      <c r="D25" s="278"/>
      <c r="E25" s="278"/>
      <c r="F25" s="278"/>
    </row>
    <row r="26" spans="1:8">
      <c r="A26" s="308" t="s">
        <v>1758</v>
      </c>
      <c r="B26" s="278"/>
      <c r="C26" s="278"/>
      <c r="D26" s="279"/>
      <c r="E26" s="293"/>
      <c r="F26" s="279"/>
    </row>
    <row r="27" spans="1:8">
      <c r="A27" s="308" t="s">
        <v>1759</v>
      </c>
      <c r="B27" s="278"/>
      <c r="C27" s="278"/>
      <c r="D27" s="278"/>
      <c r="E27" s="278"/>
      <c r="F27" s="279"/>
    </row>
    <row r="28" spans="1:8">
      <c r="A28" s="308" t="s">
        <v>1760</v>
      </c>
      <c r="B28" s="278"/>
      <c r="C28" s="278"/>
      <c r="D28" s="278"/>
      <c r="E28" s="278"/>
      <c r="F28" s="278"/>
    </row>
    <row r="29" spans="1:8">
      <c r="A29" s="308" t="s">
        <v>1761</v>
      </c>
      <c r="B29" s="278"/>
      <c r="C29" s="278"/>
      <c r="D29" s="278"/>
      <c r="E29" s="278"/>
      <c r="F29" s="278"/>
    </row>
    <row r="30" spans="1:8">
      <c r="A30" s="308" t="s">
        <v>1762</v>
      </c>
      <c r="B30" s="278"/>
      <c r="C30" s="278"/>
      <c r="D30" s="278"/>
      <c r="E30" s="278"/>
      <c r="F30" s="278"/>
    </row>
    <row r="31" spans="1:8">
      <c r="A31" s="310" t="s">
        <v>1735</v>
      </c>
      <c r="B31" s="278">
        <f>(B26*B27)+(B29*B30)</f>
        <v>0</v>
      </c>
      <c r="C31" s="278">
        <f>(C26*C27)+(C29*C30)</f>
        <v>0</v>
      </c>
      <c r="D31" s="278">
        <f>(D26*D27)+(D29*D30)</f>
        <v>0</v>
      </c>
      <c r="E31" s="278">
        <f>(E26*E27)+(E29*E30)</f>
        <v>0</v>
      </c>
      <c r="F31" s="278">
        <f>(F26*F27)+(F29*F30)</f>
        <v>0</v>
      </c>
    </row>
    <row r="32" spans="1:8" s="291" customFormat="1">
      <c r="A32" s="297" t="s">
        <v>1765</v>
      </c>
      <c r="B32" s="296">
        <f>B14+B23+B31</f>
        <v>14400000</v>
      </c>
      <c r="C32" s="296">
        <f>C14+C23+C31</f>
        <v>15120000</v>
      </c>
      <c r="D32" s="296">
        <f>D14+D23+D31</f>
        <v>16632000.000000002</v>
      </c>
      <c r="E32" s="296">
        <f>E14+E23+E31</f>
        <v>18295200.000000004</v>
      </c>
      <c r="F32" s="296">
        <f>F14+F23+F31</f>
        <v>20124720.000000007</v>
      </c>
      <c r="H32" s="471"/>
    </row>
    <row r="33" spans="1:9" s="78" customFormat="1">
      <c r="A33" s="311" t="s">
        <v>1766</v>
      </c>
      <c r="B33" s="286">
        <f>B32</f>
        <v>14400000</v>
      </c>
      <c r="C33" s="286">
        <f t="shared" ref="C33:F33" si="6">C32</f>
        <v>15120000</v>
      </c>
      <c r="D33" s="286">
        <f t="shared" si="6"/>
        <v>16632000.000000002</v>
      </c>
      <c r="E33" s="286">
        <f t="shared" si="6"/>
        <v>18295200.000000004</v>
      </c>
      <c r="F33" s="286">
        <f t="shared" si="6"/>
        <v>20124720.000000007</v>
      </c>
    </row>
    <row r="34" spans="1:9">
      <c r="A34" s="314"/>
      <c r="B34" s="280"/>
      <c r="C34" s="280"/>
      <c r="D34" s="280"/>
      <c r="E34" s="281"/>
      <c r="F34" s="282"/>
    </row>
    <row r="35" spans="1:9">
      <c r="A35" s="315"/>
      <c r="B35" s="283"/>
      <c r="C35" s="283"/>
      <c r="D35" s="283"/>
      <c r="E35" s="284"/>
      <c r="F35" s="283"/>
    </row>
    <row r="36" spans="1:9">
      <c r="A36" s="739" t="s">
        <v>1736</v>
      </c>
      <c r="B36" s="739"/>
      <c r="C36" s="739"/>
      <c r="D36" s="739"/>
      <c r="E36" s="739"/>
      <c r="F36" s="739"/>
    </row>
    <row r="37" spans="1:9">
      <c r="A37" s="307" t="s">
        <v>1778</v>
      </c>
      <c r="B37" s="285">
        <v>300000</v>
      </c>
      <c r="C37" s="285">
        <f>B37*1.1</f>
        <v>330000</v>
      </c>
      <c r="D37" s="285">
        <f>C37*1.1</f>
        <v>363000.00000000006</v>
      </c>
      <c r="E37" s="285">
        <f>D37*1.1</f>
        <v>399300.00000000012</v>
      </c>
      <c r="F37" s="285">
        <f>E37*1.1</f>
        <v>439230.00000000017</v>
      </c>
    </row>
    <row r="38" spans="1:9">
      <c r="A38" s="307" t="s">
        <v>1737</v>
      </c>
      <c r="B38" s="347">
        <v>10000</v>
      </c>
      <c r="C38" s="285">
        <f t="shared" ref="C38:D39" si="7">B38*1.1</f>
        <v>11000</v>
      </c>
      <c r="D38" s="285">
        <f t="shared" si="7"/>
        <v>12100.000000000002</v>
      </c>
      <c r="E38" s="285">
        <f>D38*1.1</f>
        <v>13310.000000000004</v>
      </c>
      <c r="F38" s="285">
        <f t="shared" ref="F38" si="8">E38*1.1</f>
        <v>14641.000000000005</v>
      </c>
    </row>
    <row r="39" spans="1:9">
      <c r="A39" s="307" t="s">
        <v>1738</v>
      </c>
      <c r="B39" s="347">
        <v>0</v>
      </c>
      <c r="C39" s="285">
        <f t="shared" si="7"/>
        <v>0</v>
      </c>
      <c r="D39" s="285">
        <f t="shared" si="7"/>
        <v>0</v>
      </c>
      <c r="E39" s="285">
        <f>D39*1.1</f>
        <v>0</v>
      </c>
      <c r="F39" s="285">
        <f t="shared" ref="F39" si="9">E39*1.1</f>
        <v>0</v>
      </c>
    </row>
    <row r="40" spans="1:9">
      <c r="A40" s="307" t="s">
        <v>1787</v>
      </c>
      <c r="B40" s="347"/>
      <c r="C40" s="347"/>
      <c r="D40" s="347"/>
      <c r="E40" s="347"/>
      <c r="F40" s="347"/>
    </row>
    <row r="41" spans="1:9">
      <c r="A41" s="307" t="s">
        <v>1739</v>
      </c>
      <c r="B41" s="347">
        <v>100000</v>
      </c>
      <c r="C41" s="285">
        <f t="shared" ref="C41:F46" si="10">B41*1.1</f>
        <v>110000.00000000001</v>
      </c>
      <c r="D41" s="285">
        <f t="shared" si="10"/>
        <v>121000.00000000003</v>
      </c>
      <c r="E41" s="285">
        <v>145000</v>
      </c>
      <c r="F41" s="285">
        <f t="shared" si="10"/>
        <v>159500</v>
      </c>
    </row>
    <row r="42" spans="1:9">
      <c r="A42" s="307" t="s">
        <v>1740</v>
      </c>
      <c r="B42" s="285">
        <v>50000</v>
      </c>
      <c r="C42" s="285">
        <f t="shared" ref="C42" si="11">B42*1.1</f>
        <v>55000.000000000007</v>
      </c>
      <c r="D42" s="285">
        <f t="shared" ref="D42" si="12">C42*1.1</f>
        <v>60500.000000000015</v>
      </c>
      <c r="E42" s="285">
        <f t="shared" ref="E42" si="13">D42*1.1</f>
        <v>66550.000000000015</v>
      </c>
      <c r="F42" s="285">
        <f t="shared" ref="F42" si="14">E42*1.1</f>
        <v>73205.000000000029</v>
      </c>
    </row>
    <row r="43" spans="1:9">
      <c r="A43" s="307" t="s">
        <v>1776</v>
      </c>
      <c r="B43" s="285">
        <f>(B13*30)*20%</f>
        <v>240000</v>
      </c>
      <c r="C43" s="285">
        <f t="shared" ref="C43:F43" si="15">(C13*30)*30%</f>
        <v>378000</v>
      </c>
      <c r="D43" s="285">
        <f t="shared" si="15"/>
        <v>415800.00000000006</v>
      </c>
      <c r="E43" s="285">
        <f t="shared" si="15"/>
        <v>457380.00000000012</v>
      </c>
      <c r="F43" s="285">
        <f t="shared" si="15"/>
        <v>503118.00000000017</v>
      </c>
      <c r="G43" s="409"/>
      <c r="H43" s="339"/>
    </row>
    <row r="44" spans="1:9">
      <c r="A44" s="307"/>
      <c r="B44" s="285"/>
      <c r="C44" s="285"/>
      <c r="D44" s="285"/>
      <c r="E44" s="285"/>
      <c r="F44" s="285"/>
    </row>
    <row r="45" spans="1:9">
      <c r="A45" s="307" t="s">
        <v>1634</v>
      </c>
      <c r="B45" s="285">
        <v>10000</v>
      </c>
      <c r="C45" s="285">
        <f t="shared" si="10"/>
        <v>11000</v>
      </c>
      <c r="D45" s="285">
        <f t="shared" si="10"/>
        <v>12100.000000000002</v>
      </c>
      <c r="E45" s="285">
        <f>D45*1.1</f>
        <v>13310.000000000004</v>
      </c>
      <c r="F45" s="285">
        <f t="shared" si="10"/>
        <v>14641.000000000005</v>
      </c>
    </row>
    <row r="46" spans="1:9">
      <c r="A46" s="307" t="s">
        <v>1779</v>
      </c>
      <c r="B46" s="285">
        <f>SUM(B37:B45)</f>
        <v>710000</v>
      </c>
      <c r="C46" s="285">
        <f t="shared" si="10"/>
        <v>781000.00000000012</v>
      </c>
      <c r="D46" s="285">
        <f t="shared" si="10"/>
        <v>859100.00000000023</v>
      </c>
      <c r="E46" s="285">
        <f>D46*1.1</f>
        <v>945010.00000000035</v>
      </c>
      <c r="F46" s="285">
        <f t="shared" si="10"/>
        <v>1039511.0000000005</v>
      </c>
      <c r="H46" s="339"/>
      <c r="I46" s="338"/>
    </row>
    <row r="47" spans="1:9">
      <c r="A47" s="307"/>
      <c r="B47" s="295"/>
      <c r="C47" s="295"/>
      <c r="D47" s="295"/>
      <c r="E47" s="295"/>
      <c r="F47" s="285"/>
      <c r="H47" s="338"/>
    </row>
    <row r="48" spans="1:9">
      <c r="A48" s="297" t="s">
        <v>1767</v>
      </c>
      <c r="B48" s="298">
        <f>B46*12</f>
        <v>8520000</v>
      </c>
      <c r="C48" s="298">
        <f t="shared" ref="C48:F48" si="16">C46*12</f>
        <v>9372000.0000000019</v>
      </c>
      <c r="D48" s="298">
        <f t="shared" si="16"/>
        <v>10309200.000000004</v>
      </c>
      <c r="E48" s="298">
        <f t="shared" si="16"/>
        <v>11340120.000000004</v>
      </c>
      <c r="F48" s="298">
        <f t="shared" si="16"/>
        <v>12474132.000000006</v>
      </c>
    </row>
    <row r="49" spans="1:6" s="78" customFormat="1">
      <c r="A49" s="311" t="s">
        <v>1768</v>
      </c>
      <c r="B49" s="292">
        <f>B48</f>
        <v>8520000</v>
      </c>
      <c r="C49" s="292">
        <f>C48</f>
        <v>9372000.0000000019</v>
      </c>
      <c r="D49" s="292">
        <f>D48</f>
        <v>10309200.000000004</v>
      </c>
      <c r="E49" s="292">
        <f>E48</f>
        <v>11340120.000000004</v>
      </c>
      <c r="F49" s="292">
        <f>F48</f>
        <v>12474132.000000006</v>
      </c>
    </row>
    <row r="50" spans="1:6">
      <c r="A50" s="307"/>
      <c r="B50" s="285"/>
      <c r="C50" s="285"/>
      <c r="D50" s="285"/>
      <c r="E50" s="285"/>
      <c r="F50" s="285"/>
    </row>
    <row r="51" spans="1:6" s="78" customFormat="1">
      <c r="A51" s="311" t="s">
        <v>1741</v>
      </c>
      <c r="B51" s="292">
        <f>B33-B49</f>
        <v>5880000</v>
      </c>
      <c r="C51" s="292">
        <f t="shared" ref="C51:F51" si="17">C33-C49</f>
        <v>5747999.9999999981</v>
      </c>
      <c r="D51" s="292">
        <f t="shared" si="17"/>
        <v>6322799.9999999981</v>
      </c>
      <c r="E51" s="292">
        <f t="shared" si="17"/>
        <v>6955080</v>
      </c>
      <c r="F51" s="292">
        <f t="shared" si="17"/>
        <v>7650588.0000000019</v>
      </c>
    </row>
    <row r="52" spans="1:6">
      <c r="A52" s="307" t="s">
        <v>1742</v>
      </c>
      <c r="B52" s="285">
        <f>CAM!L9*12</f>
        <v>3071409.112119176</v>
      </c>
      <c r="C52" s="285">
        <f>B52</f>
        <v>3071409.112119176</v>
      </c>
      <c r="D52" s="285">
        <f>C52</f>
        <v>3071409.112119176</v>
      </c>
      <c r="E52" s="285">
        <f>D52</f>
        <v>3071409.112119176</v>
      </c>
      <c r="F52" s="285">
        <f>E52</f>
        <v>3071409.112119176</v>
      </c>
    </row>
    <row r="53" spans="1:6" s="78" customFormat="1">
      <c r="A53" s="311" t="s">
        <v>1743</v>
      </c>
      <c r="B53" s="287">
        <f>B51/B52</f>
        <v>1.9144307336976625</v>
      </c>
      <c r="C53" s="287">
        <f>C51/C52</f>
        <v>1.8714537172268979</v>
      </c>
      <c r="D53" s="287">
        <f>D51/D52</f>
        <v>2.0585990889495878</v>
      </c>
      <c r="E53" s="287">
        <f>E51/E52</f>
        <v>2.2644589978445473</v>
      </c>
      <c r="F53" s="287">
        <f>F51/F52</f>
        <v>2.4909048976290027</v>
      </c>
    </row>
    <row r="56" spans="1:6">
      <c r="B56" s="338"/>
      <c r="C56" s="339"/>
    </row>
  </sheetData>
  <sheetProtection algorithmName="SHA-512" hashValue="OPpLJ/fp3kt8hOuNRR6qooIJHh96Oxufb5Cwya+jsz4hc6Wc7Dh5zshxrcvkbhZ3UKf7nYwvuHItskwE4A2TKQ==" saltValue="eFKJnbBTGI4VKLMcr/zMnQ==" spinCount="100000" sheet="1" formatCells="0" formatColumns="0" formatRows="0" insertColumns="0" insertRows="0" deleteColumns="0" deleteRows="0"/>
  <mergeCells count="3">
    <mergeCell ref="A3:F3"/>
    <mergeCell ref="A36:F36"/>
    <mergeCell ref="A1:F1"/>
  </mergeCells>
  <pageMargins left="0.7" right="0.7" top="0.75" bottom="0.75" header="0.3" footer="0.3"/>
  <pageSetup orientation="portrait" r:id="rId1"/>
  <headerFooter>
    <oddFooter>&amp;C&amp;1#&amp;"Calibri"&amp;10&amp;K000000Clix Internal Circulation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opLeftCell="D21" workbookViewId="0">
      <selection activeCell="K6" sqref="K6"/>
    </sheetView>
  </sheetViews>
  <sheetFormatPr defaultRowHeight="15"/>
  <cols>
    <col min="1" max="1" width="43.42578125" bestFit="1" customWidth="1"/>
    <col min="2" max="2" width="29.140625" style="78" bestFit="1" customWidth="1"/>
    <col min="3" max="4" width="18.7109375" style="78" bestFit="1" customWidth="1"/>
    <col min="5" max="5" width="21.7109375" style="78" bestFit="1" customWidth="1"/>
    <col min="6" max="6" width="14.42578125" style="78" bestFit="1" customWidth="1"/>
    <col min="7" max="7" width="23.42578125" bestFit="1" customWidth="1"/>
    <col min="8" max="8" width="11.7109375" bestFit="1" customWidth="1"/>
    <col min="9" max="9" width="41.7109375" bestFit="1" customWidth="1"/>
    <col min="10" max="10" width="19.42578125" bestFit="1" customWidth="1"/>
    <col min="11" max="11" width="13.28515625" bestFit="1" customWidth="1"/>
    <col min="13" max="13" width="16.42578125" bestFit="1" customWidth="1"/>
    <col min="16" max="16" width="71.85546875" bestFit="1" customWidth="1"/>
  </cols>
  <sheetData>
    <row r="1" spans="1:17">
      <c r="A1" s="78" t="s">
        <v>210</v>
      </c>
      <c r="B1" s="78" t="s">
        <v>172</v>
      </c>
      <c r="C1" s="78" t="s">
        <v>211</v>
      </c>
      <c r="D1" s="78" t="s">
        <v>212</v>
      </c>
      <c r="E1" s="78" t="s">
        <v>188</v>
      </c>
      <c r="F1" s="78" t="s">
        <v>213</v>
      </c>
      <c r="G1" s="78" t="s">
        <v>347</v>
      </c>
      <c r="I1" t="s">
        <v>1442</v>
      </c>
      <c r="J1" t="s">
        <v>1441</v>
      </c>
      <c r="K1" t="s">
        <v>1724</v>
      </c>
      <c r="M1" t="s">
        <v>1383</v>
      </c>
      <c r="P1" t="s">
        <v>1552</v>
      </c>
    </row>
    <row r="2" spans="1:17">
      <c r="A2" s="78" t="s">
        <v>214</v>
      </c>
      <c r="B2" s="78" t="s">
        <v>190</v>
      </c>
      <c r="C2" s="78" t="s">
        <v>191</v>
      </c>
      <c r="D2" s="78" t="s">
        <v>215</v>
      </c>
      <c r="E2" s="78">
        <v>1</v>
      </c>
      <c r="F2" s="78" t="s">
        <v>216</v>
      </c>
      <c r="G2" s="78" t="s">
        <v>335</v>
      </c>
      <c r="I2" s="102" t="s">
        <v>1409</v>
      </c>
      <c r="J2" s="101" t="s">
        <v>560</v>
      </c>
      <c r="K2" s="263">
        <v>42825</v>
      </c>
      <c r="M2">
        <v>1</v>
      </c>
      <c r="P2" t="s">
        <v>1538</v>
      </c>
      <c r="Q2" t="s">
        <v>1553</v>
      </c>
    </row>
    <row r="3" spans="1:17">
      <c r="A3" s="78" t="s">
        <v>217</v>
      </c>
      <c r="B3" s="78" t="s">
        <v>218</v>
      </c>
      <c r="C3" s="78" t="s">
        <v>219</v>
      </c>
      <c r="D3" s="78" t="s">
        <v>220</v>
      </c>
      <c r="E3" s="78">
        <v>2</v>
      </c>
      <c r="F3" s="79" t="s">
        <v>221</v>
      </c>
      <c r="G3" s="78" t="s">
        <v>324</v>
      </c>
      <c r="I3" s="102" t="s">
        <v>1412</v>
      </c>
      <c r="J3" s="101" t="s">
        <v>560</v>
      </c>
      <c r="K3" s="263">
        <v>43190</v>
      </c>
      <c r="M3">
        <v>2</v>
      </c>
      <c r="P3" t="s">
        <v>1539</v>
      </c>
      <c r="Q3" t="s">
        <v>1554</v>
      </c>
    </row>
    <row r="4" spans="1:17">
      <c r="A4" s="78" t="s">
        <v>222</v>
      </c>
      <c r="B4" s="78" t="s">
        <v>223</v>
      </c>
      <c r="C4" s="78" t="s">
        <v>224</v>
      </c>
      <c r="D4" s="78" t="s">
        <v>225</v>
      </c>
      <c r="E4" s="78">
        <v>3</v>
      </c>
      <c r="F4" s="78" t="s">
        <v>226</v>
      </c>
      <c r="G4" s="78" t="s">
        <v>339</v>
      </c>
      <c r="I4" s="102" t="s">
        <v>1407</v>
      </c>
      <c r="J4" s="101" t="s">
        <v>560</v>
      </c>
      <c r="K4" s="263">
        <v>43555</v>
      </c>
      <c r="M4">
        <v>3</v>
      </c>
      <c r="P4" t="s">
        <v>1540</v>
      </c>
      <c r="Q4" t="s">
        <v>1555</v>
      </c>
    </row>
    <row r="5" spans="1:17">
      <c r="A5" s="78" t="s">
        <v>227</v>
      </c>
      <c r="B5" s="78" t="s">
        <v>228</v>
      </c>
      <c r="C5" s="78" t="s">
        <v>226</v>
      </c>
      <c r="D5" s="78" t="s">
        <v>229</v>
      </c>
      <c r="E5" s="78">
        <v>4</v>
      </c>
      <c r="F5" s="78" t="s">
        <v>230</v>
      </c>
      <c r="G5" s="78" t="s">
        <v>341</v>
      </c>
      <c r="I5" s="102" t="s">
        <v>1411</v>
      </c>
      <c r="J5" s="101" t="s">
        <v>560</v>
      </c>
      <c r="K5" s="263">
        <v>43921</v>
      </c>
      <c r="M5">
        <v>4</v>
      </c>
      <c r="P5" t="s">
        <v>1541</v>
      </c>
      <c r="Q5" t="s">
        <v>1551</v>
      </c>
    </row>
    <row r="6" spans="1:17">
      <c r="A6" s="78" t="s">
        <v>231</v>
      </c>
      <c r="B6" s="78" t="s">
        <v>232</v>
      </c>
      <c r="C6" s="78" t="s">
        <v>233</v>
      </c>
      <c r="D6" s="78" t="s">
        <v>234</v>
      </c>
      <c r="E6" s="78">
        <v>5</v>
      </c>
      <c r="F6" s="78" t="s">
        <v>235</v>
      </c>
      <c r="G6" s="78" t="s">
        <v>319</v>
      </c>
      <c r="I6" s="102" t="s">
        <v>1408</v>
      </c>
      <c r="J6" s="101" t="s">
        <v>560</v>
      </c>
      <c r="K6" s="263">
        <v>44286</v>
      </c>
      <c r="M6">
        <v>5</v>
      </c>
      <c r="P6" t="s">
        <v>1542</v>
      </c>
    </row>
    <row r="7" spans="1:17">
      <c r="A7" s="78" t="s">
        <v>236</v>
      </c>
      <c r="B7" s="78" t="s">
        <v>237</v>
      </c>
      <c r="D7" s="78" t="s">
        <v>238</v>
      </c>
      <c r="E7" s="78">
        <v>6</v>
      </c>
      <c r="F7" s="78" t="s">
        <v>239</v>
      </c>
      <c r="G7" s="78" t="s">
        <v>342</v>
      </c>
      <c r="I7" s="102" t="s">
        <v>1406</v>
      </c>
      <c r="J7" s="101" t="s">
        <v>560</v>
      </c>
      <c r="M7">
        <v>6</v>
      </c>
      <c r="P7" t="s">
        <v>1543</v>
      </c>
    </row>
    <row r="8" spans="1:17">
      <c r="A8" s="78" t="s">
        <v>240</v>
      </c>
      <c r="B8" s="78" t="s">
        <v>241</v>
      </c>
      <c r="D8" s="78" t="s">
        <v>242</v>
      </c>
      <c r="E8" s="78">
        <v>7</v>
      </c>
      <c r="F8" s="78" t="s">
        <v>243</v>
      </c>
      <c r="G8" s="78" t="s">
        <v>340</v>
      </c>
      <c r="I8" s="103" t="s">
        <v>1405</v>
      </c>
      <c r="J8" s="101" t="s">
        <v>560</v>
      </c>
      <c r="M8">
        <v>7</v>
      </c>
      <c r="P8" t="s">
        <v>1544</v>
      </c>
      <c r="Q8" t="s">
        <v>1563</v>
      </c>
    </row>
    <row r="9" spans="1:17">
      <c r="A9" s="78" t="s">
        <v>244</v>
      </c>
      <c r="B9" s="78" t="s">
        <v>245</v>
      </c>
      <c r="D9" s="78" t="s">
        <v>246</v>
      </c>
      <c r="E9" s="78">
        <v>8</v>
      </c>
      <c r="F9" s="78" t="s">
        <v>247</v>
      </c>
      <c r="G9" s="78" t="s">
        <v>318</v>
      </c>
      <c r="I9" s="102" t="s">
        <v>1410</v>
      </c>
      <c r="J9" s="101" t="s">
        <v>560</v>
      </c>
      <c r="M9">
        <v>8</v>
      </c>
      <c r="P9" t="s">
        <v>1545</v>
      </c>
      <c r="Q9" t="s">
        <v>1564</v>
      </c>
    </row>
    <row r="10" spans="1:17">
      <c r="A10" s="78" t="s">
        <v>248</v>
      </c>
      <c r="B10" s="78" t="s">
        <v>249</v>
      </c>
      <c r="D10" s="78" t="s">
        <v>250</v>
      </c>
      <c r="E10" s="78">
        <v>9</v>
      </c>
      <c r="F10" s="78" t="s">
        <v>251</v>
      </c>
      <c r="G10" s="78" t="s">
        <v>338</v>
      </c>
      <c r="I10" s="104" t="s">
        <v>1711</v>
      </c>
      <c r="J10" s="101" t="s">
        <v>1443</v>
      </c>
      <c r="M10">
        <v>9</v>
      </c>
      <c r="P10" t="s">
        <v>1546</v>
      </c>
      <c r="Q10" t="s">
        <v>1565</v>
      </c>
    </row>
    <row r="11" spans="1:17">
      <c r="B11" s="78" t="s">
        <v>252</v>
      </c>
      <c r="D11" s="78" t="s">
        <v>253</v>
      </c>
      <c r="E11" s="78">
        <v>10</v>
      </c>
      <c r="F11" s="79" t="s">
        <v>1704</v>
      </c>
      <c r="G11" s="78" t="s">
        <v>317</v>
      </c>
      <c r="I11" s="104" t="s">
        <v>1424</v>
      </c>
      <c r="J11" s="101" t="s">
        <v>1443</v>
      </c>
      <c r="M11">
        <v>10</v>
      </c>
      <c r="P11" t="s">
        <v>1547</v>
      </c>
    </row>
    <row r="12" spans="1:17">
      <c r="B12" s="78" t="s">
        <v>254</v>
      </c>
      <c r="D12" s="78" t="s">
        <v>255</v>
      </c>
      <c r="E12" s="78">
        <v>11</v>
      </c>
      <c r="F12" s="80"/>
      <c r="I12" s="104" t="s">
        <v>1417</v>
      </c>
      <c r="J12" s="101" t="s">
        <v>1443</v>
      </c>
      <c r="M12" s="112" t="s">
        <v>1482</v>
      </c>
      <c r="P12" t="s">
        <v>1548</v>
      </c>
    </row>
    <row r="13" spans="1:17">
      <c r="B13" s="78" t="s">
        <v>256</v>
      </c>
      <c r="D13" s="78" t="s">
        <v>257</v>
      </c>
      <c r="E13" s="78">
        <v>12</v>
      </c>
      <c r="F13" s="80"/>
      <c r="G13" s="78" t="s">
        <v>346</v>
      </c>
      <c r="I13" s="104" t="s">
        <v>1423</v>
      </c>
      <c r="J13" s="101" t="s">
        <v>1443</v>
      </c>
      <c r="P13" t="s">
        <v>1549</v>
      </c>
    </row>
    <row r="14" spans="1:17">
      <c r="B14" s="78" t="s">
        <v>258</v>
      </c>
      <c r="D14" s="78" t="s">
        <v>259</v>
      </c>
      <c r="E14" s="78">
        <v>13</v>
      </c>
      <c r="F14" s="80"/>
      <c r="G14" s="78" t="s">
        <v>327</v>
      </c>
      <c r="I14" s="104" t="s">
        <v>1427</v>
      </c>
      <c r="J14" s="101" t="s">
        <v>1443</v>
      </c>
      <c r="P14" t="s">
        <v>1550</v>
      </c>
    </row>
    <row r="15" spans="1:17">
      <c r="B15" s="78" t="s">
        <v>260</v>
      </c>
      <c r="D15" s="78" t="s">
        <v>261</v>
      </c>
      <c r="E15" s="78">
        <v>14</v>
      </c>
      <c r="F15" s="80"/>
      <c r="G15" s="78" t="s">
        <v>321</v>
      </c>
      <c r="I15" s="104" t="s">
        <v>1419</v>
      </c>
      <c r="J15" s="101" t="s">
        <v>1443</v>
      </c>
      <c r="P15" t="s">
        <v>1551</v>
      </c>
    </row>
    <row r="16" spans="1:17">
      <c r="B16" s="78" t="s">
        <v>262</v>
      </c>
      <c r="D16" s="78" t="s">
        <v>263</v>
      </c>
      <c r="E16" s="78">
        <v>15</v>
      </c>
      <c r="F16" s="80"/>
      <c r="G16" s="78" t="s">
        <v>325</v>
      </c>
      <c r="I16" s="104" t="s">
        <v>1418</v>
      </c>
      <c r="J16" s="101" t="s">
        <v>1443</v>
      </c>
    </row>
    <row r="17" spans="2:10">
      <c r="B17" s="78" t="s">
        <v>264</v>
      </c>
      <c r="D17" s="78" t="s">
        <v>265</v>
      </c>
      <c r="E17" s="78">
        <v>16</v>
      </c>
      <c r="F17" s="80"/>
      <c r="G17" s="78" t="s">
        <v>344</v>
      </c>
      <c r="I17" s="104" t="s">
        <v>1421</v>
      </c>
      <c r="J17" s="101" t="s">
        <v>1443</v>
      </c>
    </row>
    <row r="18" spans="2:10">
      <c r="B18" s="78" t="s">
        <v>266</v>
      </c>
      <c r="D18" s="78" t="s">
        <v>267</v>
      </c>
      <c r="E18" s="78">
        <v>17</v>
      </c>
      <c r="F18" s="80"/>
      <c r="G18" s="78" t="s">
        <v>320</v>
      </c>
      <c r="I18" s="104" t="s">
        <v>1422</v>
      </c>
      <c r="J18" s="101" t="s">
        <v>1443</v>
      </c>
    </row>
    <row r="19" spans="2:10">
      <c r="B19" s="78" t="s">
        <v>268</v>
      </c>
      <c r="D19" s="78" t="s">
        <v>269</v>
      </c>
      <c r="E19" s="78">
        <v>18</v>
      </c>
      <c r="F19" s="80"/>
      <c r="G19" s="78" t="s">
        <v>336</v>
      </c>
      <c r="I19" s="104" t="s">
        <v>1416</v>
      </c>
      <c r="J19" s="101" t="s">
        <v>1443</v>
      </c>
    </row>
    <row r="20" spans="2:10">
      <c r="B20" s="78" t="s">
        <v>270</v>
      </c>
      <c r="D20" s="78" t="s">
        <v>271</v>
      </c>
      <c r="E20" s="78">
        <v>19</v>
      </c>
      <c r="F20" s="80"/>
      <c r="G20" s="78" t="s">
        <v>332</v>
      </c>
      <c r="I20" s="104" t="s">
        <v>1425</v>
      </c>
      <c r="J20" s="101" t="s">
        <v>1443</v>
      </c>
    </row>
    <row r="21" spans="2:10">
      <c r="B21" s="78" t="s">
        <v>272</v>
      </c>
      <c r="D21" s="78" t="s">
        <v>273</v>
      </c>
      <c r="E21" s="78">
        <v>20</v>
      </c>
      <c r="F21" s="80"/>
      <c r="G21" s="78" t="s">
        <v>323</v>
      </c>
      <c r="I21" s="104" t="s">
        <v>1426</v>
      </c>
      <c r="J21" s="101" t="s">
        <v>1443</v>
      </c>
    </row>
    <row r="22" spans="2:10">
      <c r="D22" s="78" t="s">
        <v>274</v>
      </c>
      <c r="E22" s="78">
        <v>21</v>
      </c>
      <c r="F22" s="80"/>
      <c r="G22" s="78" t="s">
        <v>345</v>
      </c>
      <c r="I22" s="105" t="s">
        <v>1428</v>
      </c>
      <c r="J22" s="101" t="s">
        <v>1443</v>
      </c>
    </row>
    <row r="23" spans="2:10">
      <c r="D23" s="78" t="s">
        <v>275</v>
      </c>
      <c r="E23" s="78">
        <v>22</v>
      </c>
      <c r="F23" s="80"/>
      <c r="G23" s="78" t="s">
        <v>80</v>
      </c>
      <c r="I23" s="104" t="s">
        <v>1420</v>
      </c>
      <c r="J23" s="101" t="s">
        <v>1443</v>
      </c>
    </row>
    <row r="24" spans="2:10">
      <c r="D24" s="78" t="s">
        <v>276</v>
      </c>
      <c r="E24" s="78">
        <v>23</v>
      </c>
      <c r="F24" s="80"/>
      <c r="G24" s="78" t="s">
        <v>337</v>
      </c>
      <c r="I24" s="104" t="s">
        <v>1413</v>
      </c>
      <c r="J24" s="101" t="s">
        <v>1443</v>
      </c>
    </row>
    <row r="25" spans="2:10">
      <c r="D25" s="78" t="s">
        <v>277</v>
      </c>
      <c r="E25" s="78">
        <v>24</v>
      </c>
      <c r="F25" s="80"/>
      <c r="G25" s="78" t="s">
        <v>329</v>
      </c>
      <c r="I25" s="104" t="s">
        <v>1415</v>
      </c>
      <c r="J25" s="101" t="s">
        <v>1443</v>
      </c>
    </row>
    <row r="26" spans="2:10">
      <c r="D26" s="78" t="s">
        <v>278</v>
      </c>
      <c r="E26" s="78">
        <v>25</v>
      </c>
      <c r="F26" s="80"/>
      <c r="G26" s="78" t="s">
        <v>334</v>
      </c>
      <c r="I26" s="104" t="s">
        <v>1414</v>
      </c>
      <c r="J26" s="101" t="s">
        <v>1443</v>
      </c>
    </row>
    <row r="27" spans="2:10">
      <c r="D27" s="78" t="s">
        <v>279</v>
      </c>
      <c r="E27" s="78">
        <v>26</v>
      </c>
      <c r="F27" s="80"/>
      <c r="G27" s="78" t="s">
        <v>331</v>
      </c>
      <c r="I27" s="106" t="s">
        <v>1430</v>
      </c>
      <c r="J27" s="101" t="s">
        <v>1444</v>
      </c>
    </row>
    <row r="28" spans="2:10">
      <c r="D28" s="78" t="s">
        <v>280</v>
      </c>
      <c r="E28" s="78">
        <v>27</v>
      </c>
      <c r="F28" s="80"/>
      <c r="G28" s="78" t="s">
        <v>322</v>
      </c>
      <c r="I28" s="106" t="s">
        <v>1431</v>
      </c>
      <c r="J28" s="101" t="s">
        <v>1444</v>
      </c>
    </row>
    <row r="29" spans="2:10">
      <c r="D29" s="78" t="s">
        <v>281</v>
      </c>
      <c r="E29" s="78">
        <v>28</v>
      </c>
      <c r="F29" s="80"/>
      <c r="G29" s="78" t="s">
        <v>343</v>
      </c>
      <c r="I29" s="106" t="s">
        <v>1434</v>
      </c>
      <c r="J29" s="101" t="s">
        <v>1444</v>
      </c>
    </row>
    <row r="30" spans="2:10">
      <c r="D30" s="78" t="s">
        <v>282</v>
      </c>
      <c r="E30" s="78">
        <v>29</v>
      </c>
      <c r="F30" s="80"/>
      <c r="G30" s="78" t="s">
        <v>326</v>
      </c>
      <c r="I30" s="106" t="s">
        <v>1433</v>
      </c>
      <c r="J30" s="101" t="s">
        <v>1444</v>
      </c>
    </row>
    <row r="31" spans="2:10">
      <c r="D31" s="78" t="s">
        <v>283</v>
      </c>
      <c r="E31" s="78">
        <v>30</v>
      </c>
      <c r="F31" s="80"/>
      <c r="G31" s="78" t="s">
        <v>330</v>
      </c>
      <c r="I31" s="106" t="s">
        <v>1432</v>
      </c>
      <c r="J31" s="101" t="s">
        <v>1444</v>
      </c>
    </row>
    <row r="32" spans="2:10">
      <c r="E32" s="78">
        <v>31</v>
      </c>
      <c r="F32" s="80"/>
      <c r="G32" s="78" t="s">
        <v>333</v>
      </c>
      <c r="I32" s="106" t="s">
        <v>1429</v>
      </c>
      <c r="J32" s="101" t="s">
        <v>1444</v>
      </c>
    </row>
    <row r="33" spans="1:10">
      <c r="F33" s="80"/>
      <c r="G33" s="78" t="s">
        <v>328</v>
      </c>
      <c r="I33" s="106" t="s">
        <v>1437</v>
      </c>
      <c r="J33" s="101" t="s">
        <v>1444</v>
      </c>
    </row>
    <row r="34" spans="1:10">
      <c r="F34" s="80"/>
      <c r="I34" s="106" t="s">
        <v>1438</v>
      </c>
      <c r="J34" s="101" t="s">
        <v>1444</v>
      </c>
    </row>
    <row r="35" spans="1:10">
      <c r="F35" s="80"/>
      <c r="I35" s="106" t="s">
        <v>1436</v>
      </c>
      <c r="J35" s="101" t="s">
        <v>1444</v>
      </c>
    </row>
    <row r="36" spans="1:10">
      <c r="F36" s="80"/>
      <c r="I36" s="107" t="s">
        <v>1439</v>
      </c>
      <c r="J36" s="101" t="s">
        <v>1444</v>
      </c>
    </row>
    <row r="37" spans="1:10">
      <c r="A37" s="86" t="s">
        <v>466</v>
      </c>
      <c r="B37" s="85" t="s">
        <v>465</v>
      </c>
      <c r="D37" t="s">
        <v>1602</v>
      </c>
      <c r="E37"/>
      <c r="F37"/>
      <c r="I37" s="106" t="s">
        <v>1435</v>
      </c>
      <c r="J37" s="101" t="s">
        <v>1444</v>
      </c>
    </row>
    <row r="38" spans="1:10">
      <c r="A38" s="88" t="s">
        <v>467</v>
      </c>
      <c r="B38" s="87">
        <v>8000</v>
      </c>
      <c r="D38" t="s">
        <v>1603</v>
      </c>
      <c r="E38" t="s">
        <v>459</v>
      </c>
      <c r="F38"/>
      <c r="I38" s="106" t="s">
        <v>80</v>
      </c>
      <c r="J38" s="101" t="s">
        <v>1444</v>
      </c>
    </row>
    <row r="39" spans="1:10">
      <c r="A39" s="88" t="s">
        <v>468</v>
      </c>
      <c r="B39" s="87">
        <v>8011</v>
      </c>
      <c r="D39" t="s">
        <v>1604</v>
      </c>
      <c r="E39" t="s">
        <v>460</v>
      </c>
      <c r="F39"/>
      <c r="I39" s="106" t="s">
        <v>1446</v>
      </c>
    </row>
    <row r="40" spans="1:10">
      <c r="A40" s="88" t="s">
        <v>469</v>
      </c>
      <c r="B40" s="87">
        <v>8021</v>
      </c>
      <c r="D40" t="s">
        <v>1605</v>
      </c>
      <c r="E40" t="s">
        <v>461</v>
      </c>
      <c r="F40"/>
    </row>
    <row r="41" spans="1:10">
      <c r="A41" s="88" t="s">
        <v>470</v>
      </c>
      <c r="B41" s="87">
        <v>8031</v>
      </c>
      <c r="D41"/>
      <c r="E41"/>
      <c r="F41"/>
    </row>
    <row r="42" spans="1:10">
      <c r="A42" s="88" t="s">
        <v>471</v>
      </c>
      <c r="B42" s="87">
        <v>8041</v>
      </c>
      <c r="D42"/>
      <c r="E42"/>
      <c r="F42"/>
    </row>
    <row r="43" spans="1:10">
      <c r="A43" s="88" t="s">
        <v>472</v>
      </c>
      <c r="B43" s="87">
        <v>8042</v>
      </c>
      <c r="D43"/>
      <c r="E43"/>
      <c r="F43"/>
    </row>
    <row r="44" spans="1:10">
      <c r="A44" s="88" t="s">
        <v>473</v>
      </c>
      <c r="B44" s="87">
        <v>8043</v>
      </c>
      <c r="D44"/>
      <c r="E44"/>
      <c r="F44"/>
    </row>
    <row r="45" spans="1:10">
      <c r="A45" s="88" t="s">
        <v>474</v>
      </c>
      <c r="B45" s="87">
        <v>8049</v>
      </c>
      <c r="D45"/>
      <c r="E45"/>
      <c r="F45"/>
    </row>
    <row r="46" spans="1:10">
      <c r="A46" s="88" t="s">
        <v>475</v>
      </c>
      <c r="B46" s="87">
        <v>8050</v>
      </c>
      <c r="D46"/>
      <c r="E46"/>
      <c r="F46"/>
    </row>
    <row r="47" spans="1:10">
      <c r="A47" s="88" t="s">
        <v>476</v>
      </c>
      <c r="B47" s="87">
        <v>8060</v>
      </c>
      <c r="D47"/>
      <c r="E47"/>
      <c r="F47"/>
    </row>
    <row r="48" spans="1:10">
      <c r="A48" s="88" t="s">
        <v>477</v>
      </c>
      <c r="B48" s="87">
        <v>8062</v>
      </c>
      <c r="D48"/>
      <c r="E48"/>
      <c r="F48"/>
    </row>
    <row r="49" spans="1:6">
      <c r="A49" s="88" t="s">
        <v>478</v>
      </c>
      <c r="B49" s="87">
        <v>8063</v>
      </c>
      <c r="D49"/>
      <c r="E49"/>
      <c r="F49"/>
    </row>
    <row r="50" spans="1:6">
      <c r="A50" s="88" t="s">
        <v>478</v>
      </c>
      <c r="B50" s="87">
        <v>8069</v>
      </c>
      <c r="D50"/>
      <c r="E50"/>
      <c r="F50"/>
    </row>
    <row r="51" spans="1:6">
      <c r="A51" s="88" t="s">
        <v>479</v>
      </c>
      <c r="B51" s="87">
        <v>8071</v>
      </c>
      <c r="D51"/>
      <c r="E51"/>
      <c r="F51"/>
    </row>
    <row r="52" spans="1:6">
      <c r="A52" s="88" t="s">
        <v>480</v>
      </c>
      <c r="B52" s="87">
        <v>8072</v>
      </c>
      <c r="D52"/>
      <c r="E52"/>
      <c r="F52"/>
    </row>
    <row r="53" spans="1:6">
      <c r="A53" s="88" t="s">
        <v>481</v>
      </c>
      <c r="B53" s="87">
        <v>8081</v>
      </c>
      <c r="D53"/>
      <c r="E53"/>
      <c r="F53"/>
    </row>
    <row r="54" spans="1:6">
      <c r="A54" s="88" t="s">
        <v>482</v>
      </c>
      <c r="B54" s="87">
        <v>8082</v>
      </c>
      <c r="F54"/>
    </row>
    <row r="55" spans="1:6" ht="28.5">
      <c r="A55" s="88" t="s">
        <v>483</v>
      </c>
      <c r="B55" s="87">
        <v>8090</v>
      </c>
      <c r="F55"/>
    </row>
    <row r="56" spans="1:6">
      <c r="A56" s="88" t="s">
        <v>484</v>
      </c>
      <c r="B56" s="87">
        <v>8092</v>
      </c>
      <c r="F56"/>
    </row>
    <row r="57" spans="1:6">
      <c r="A57" s="88" t="s">
        <v>485</v>
      </c>
      <c r="B57" s="87">
        <v>8093</v>
      </c>
      <c r="F57"/>
    </row>
    <row r="61" spans="1:6">
      <c r="A61" s="741" t="s">
        <v>490</v>
      </c>
      <c r="B61" s="92" t="s">
        <v>491</v>
      </c>
      <c r="C61" s="92"/>
      <c r="D61" s="92"/>
      <c r="E61" s="92"/>
      <c r="F61" s="741" t="s">
        <v>490</v>
      </c>
    </row>
    <row r="62" spans="1:6">
      <c r="A62" s="741"/>
      <c r="B62" s="123" t="s">
        <v>492</v>
      </c>
      <c r="C62" s="82" t="s">
        <v>289</v>
      </c>
      <c r="D62" s="82"/>
      <c r="E62" s="82" t="s">
        <v>494</v>
      </c>
      <c r="F62" s="741"/>
    </row>
    <row r="63" spans="1:6">
      <c r="A63" s="741" t="s">
        <v>495</v>
      </c>
      <c r="B63" s="123" t="s">
        <v>496</v>
      </c>
      <c r="C63" s="82" t="s">
        <v>9</v>
      </c>
      <c r="D63" s="82" t="str">
        <f>B63&amp;C63</f>
        <v>CurrentDI</v>
      </c>
      <c r="E63" s="82" t="s">
        <v>493</v>
      </c>
      <c r="F63" s="741" t="s">
        <v>495</v>
      </c>
    </row>
    <row r="64" spans="1:6">
      <c r="A64" s="741"/>
      <c r="B64" s="123" t="s">
        <v>496</v>
      </c>
      <c r="C64" s="82" t="s">
        <v>498</v>
      </c>
      <c r="D64" s="82" t="str">
        <f>B64&amp;C64</f>
        <v>CurrentNon-DI</v>
      </c>
      <c r="E64" s="82" t="s">
        <v>500</v>
      </c>
      <c r="F64" s="741"/>
    </row>
    <row r="65" spans="1:22">
      <c r="A65" s="741"/>
      <c r="B65" s="123" t="s">
        <v>497</v>
      </c>
      <c r="C65" s="82" t="s">
        <v>499</v>
      </c>
      <c r="D65" s="82" t="str">
        <f>B65&amp;C65</f>
        <v>30-89 DPDAll</v>
      </c>
      <c r="E65" s="82" t="s">
        <v>501</v>
      </c>
      <c r="F65" s="741"/>
    </row>
    <row r="66" spans="1:22">
      <c r="A66" s="78"/>
      <c r="C66"/>
      <c r="D66"/>
      <c r="E66"/>
      <c r="F66"/>
    </row>
    <row r="67" spans="1:22">
      <c r="A67" s="740" t="s">
        <v>310</v>
      </c>
      <c r="B67" s="89" t="s">
        <v>503</v>
      </c>
      <c r="C67" s="121"/>
      <c r="D67"/>
      <c r="E67"/>
      <c r="F67"/>
    </row>
    <row r="68" spans="1:22">
      <c r="A68" s="740"/>
      <c r="B68" s="89" t="s">
        <v>504</v>
      </c>
      <c r="C68" s="121" t="s">
        <v>505</v>
      </c>
      <c r="D68"/>
      <c r="E68"/>
      <c r="F68"/>
    </row>
    <row r="69" spans="1:22">
      <c r="A69" s="740" t="s">
        <v>502</v>
      </c>
      <c r="B69" s="89" t="s">
        <v>563</v>
      </c>
      <c r="C69" s="121" t="s">
        <v>506</v>
      </c>
      <c r="D69"/>
      <c r="E69"/>
      <c r="F69"/>
    </row>
    <row r="70" spans="1:22">
      <c r="A70" s="740"/>
      <c r="B70" s="89" t="s">
        <v>564</v>
      </c>
      <c r="C70" s="121" t="s">
        <v>506</v>
      </c>
      <c r="D70"/>
      <c r="E70"/>
      <c r="F70"/>
    </row>
    <row r="71" spans="1:22">
      <c r="A71" s="740"/>
      <c r="B71" s="89" t="s">
        <v>565</v>
      </c>
      <c r="C71" s="121" t="s">
        <v>507</v>
      </c>
      <c r="D71"/>
      <c r="E71"/>
      <c r="F71"/>
    </row>
    <row r="72" spans="1:22">
      <c r="A72" s="740"/>
      <c r="B72" s="89" t="s">
        <v>567</v>
      </c>
      <c r="C72" s="121" t="s">
        <v>508</v>
      </c>
      <c r="D72"/>
      <c r="E72"/>
      <c r="F72"/>
    </row>
    <row r="73" spans="1:22">
      <c r="A73" s="78"/>
      <c r="C73"/>
      <c r="D73"/>
      <c r="E73"/>
      <c r="F73"/>
    </row>
    <row r="74" spans="1:22">
      <c r="A74" s="123" t="s">
        <v>309</v>
      </c>
      <c r="B74" s="89" t="s">
        <v>506</v>
      </c>
      <c r="C74" s="90" t="s">
        <v>507</v>
      </c>
      <c r="D74" s="121" t="s">
        <v>512</v>
      </c>
      <c r="E74" s="121" t="s">
        <v>508</v>
      </c>
      <c r="F74" s="121" t="s">
        <v>513</v>
      </c>
      <c r="G74" s="121" t="s">
        <v>514</v>
      </c>
    </row>
    <row r="75" spans="1:22">
      <c r="A75" s="123" t="s">
        <v>509</v>
      </c>
      <c r="B75" s="89" t="s">
        <v>515</v>
      </c>
      <c r="C75" s="90" t="s">
        <v>516</v>
      </c>
      <c r="D75" s="121" t="s">
        <v>517</v>
      </c>
      <c r="E75" s="121" t="s">
        <v>518</v>
      </c>
      <c r="F75" s="121" t="s">
        <v>519</v>
      </c>
      <c r="G75" s="121" t="s">
        <v>520</v>
      </c>
    </row>
    <row r="76" spans="1:22">
      <c r="A76" s="123" t="s">
        <v>510</v>
      </c>
      <c r="B76" s="93" t="s">
        <v>569</v>
      </c>
      <c r="C76" s="94" t="s">
        <v>570</v>
      </c>
      <c r="D76" s="94" t="s">
        <v>571</v>
      </c>
      <c r="E76" s="94" t="s">
        <v>572</v>
      </c>
      <c r="F76" s="95" t="s">
        <v>573</v>
      </c>
      <c r="G76" s="95" t="s">
        <v>574</v>
      </c>
    </row>
    <row r="77" spans="1:22">
      <c r="A77" s="123" t="s">
        <v>511</v>
      </c>
      <c r="B77" s="123">
        <v>0.05</v>
      </c>
      <c r="C77" s="121">
        <v>0.15</v>
      </c>
      <c r="D77" s="121">
        <v>0.25</v>
      </c>
      <c r="E77" s="121">
        <v>0.4</v>
      </c>
      <c r="F77" s="121">
        <v>0.63</v>
      </c>
      <c r="G77" s="121">
        <v>0.88</v>
      </c>
    </row>
    <row r="79" spans="1:22">
      <c r="A79" s="89" t="s">
        <v>521</v>
      </c>
      <c r="B79" s="123" t="s">
        <v>525</v>
      </c>
      <c r="C79" s="123" t="s">
        <v>526</v>
      </c>
      <c r="D79" s="123" t="s">
        <v>527</v>
      </c>
      <c r="E79" s="123" t="s">
        <v>528</v>
      </c>
      <c r="F79" s="123" t="s">
        <v>529</v>
      </c>
      <c r="G79" s="123" t="s">
        <v>530</v>
      </c>
      <c r="H79" s="123" t="s">
        <v>531</v>
      </c>
      <c r="J79" s="123" t="s">
        <v>533</v>
      </c>
      <c r="K79" s="123" t="s">
        <v>534</v>
      </c>
      <c r="L79" s="123" t="s">
        <v>535</v>
      </c>
      <c r="M79" s="123" t="s">
        <v>536</v>
      </c>
      <c r="N79" s="123" t="s">
        <v>537</v>
      </c>
      <c r="O79" s="123" t="s">
        <v>493</v>
      </c>
      <c r="P79" s="123" t="s">
        <v>500</v>
      </c>
      <c r="Q79" s="123" t="s">
        <v>538</v>
      </c>
      <c r="R79" s="123" t="s">
        <v>539</v>
      </c>
      <c r="S79" s="123" t="s">
        <v>540</v>
      </c>
      <c r="T79" s="123" t="s">
        <v>541</v>
      </c>
      <c r="U79" s="123" t="s">
        <v>501</v>
      </c>
      <c r="V79" s="123" t="s">
        <v>542</v>
      </c>
    </row>
    <row r="80" spans="1:22">
      <c r="A80" s="89" t="s">
        <v>522</v>
      </c>
      <c r="B80" s="123" t="s">
        <v>543</v>
      </c>
      <c r="C80" s="123" t="s">
        <v>544</v>
      </c>
      <c r="D80" s="123" t="s">
        <v>545</v>
      </c>
      <c r="E80" s="123" t="s">
        <v>546</v>
      </c>
      <c r="F80" s="123" t="s">
        <v>547</v>
      </c>
      <c r="G80" s="123" t="s">
        <v>462</v>
      </c>
      <c r="H80" s="123" t="s">
        <v>548</v>
      </c>
      <c r="I80" s="123" t="s">
        <v>532</v>
      </c>
      <c r="J80" s="123" t="s">
        <v>550</v>
      </c>
      <c r="K80" s="123" t="s">
        <v>551</v>
      </c>
      <c r="L80" s="123" t="s">
        <v>552</v>
      </c>
      <c r="M80" s="123" t="s">
        <v>553</v>
      </c>
      <c r="N80" s="123" t="s">
        <v>553</v>
      </c>
      <c r="O80" s="123" t="s">
        <v>554</v>
      </c>
      <c r="P80" s="123" t="s">
        <v>554</v>
      </c>
      <c r="Q80" s="123" t="s">
        <v>463</v>
      </c>
      <c r="R80" s="123" t="s">
        <v>555</v>
      </c>
      <c r="S80" s="123" t="s">
        <v>556</v>
      </c>
      <c r="T80" s="123" t="s">
        <v>557</v>
      </c>
      <c r="U80" s="123" t="s">
        <v>464</v>
      </c>
      <c r="V80" s="123" t="s">
        <v>558</v>
      </c>
    </row>
    <row r="81" spans="1:22">
      <c r="A81" s="89" t="s">
        <v>523</v>
      </c>
      <c r="B81" s="123">
        <v>2.9999999999999997E-4</v>
      </c>
      <c r="C81" s="123">
        <v>4.0000000000000002E-4</v>
      </c>
      <c r="D81" s="123">
        <v>5.0000000000000001E-4</v>
      </c>
      <c r="E81" s="123">
        <v>5.9999999999999995E-4</v>
      </c>
      <c r="F81" s="123">
        <v>6.9999999999999999E-4</v>
      </c>
      <c r="G81" s="123">
        <v>8.0000000000000004E-4</v>
      </c>
      <c r="H81" s="123">
        <v>1.1999999999999999E-3</v>
      </c>
      <c r="I81" s="123" t="s">
        <v>549</v>
      </c>
      <c r="J81" s="123">
        <v>3.8999999999999998E-3</v>
      </c>
      <c r="K81" s="123">
        <v>5.8999999999999999E-3</v>
      </c>
      <c r="L81" s="123">
        <v>8.8999999999999999E-3</v>
      </c>
      <c r="M81" s="123">
        <v>1.34E-2</v>
      </c>
      <c r="N81" s="123">
        <v>2.01E-2</v>
      </c>
      <c r="O81" s="123">
        <v>3.0300000000000001E-2</v>
      </c>
      <c r="P81" s="123">
        <v>4.5499999999999999E-2</v>
      </c>
      <c r="Q81" s="123">
        <v>6.8400000000000002E-2</v>
      </c>
      <c r="R81" s="123">
        <v>0.10290000000000001</v>
      </c>
      <c r="S81" s="123">
        <v>0.15479999999999999</v>
      </c>
      <c r="T81" s="123">
        <v>0.23280000000000001</v>
      </c>
      <c r="U81" s="123">
        <v>0.35</v>
      </c>
      <c r="V81" s="123">
        <v>1</v>
      </c>
    </row>
    <row r="82" spans="1:22">
      <c r="A82" s="89" t="s">
        <v>524</v>
      </c>
      <c r="B82" s="91">
        <v>2.9999999999999997E-4</v>
      </c>
      <c r="C82" s="91">
        <v>4.0000000000000002E-4</v>
      </c>
      <c r="D82" s="91">
        <v>5.0000000000000001E-4</v>
      </c>
      <c r="E82" s="91">
        <v>5.9999999999999995E-4</v>
      </c>
      <c r="F82" s="91">
        <v>6.9999999999999999E-4</v>
      </c>
      <c r="G82" s="91">
        <v>8.0000000000000004E-4</v>
      </c>
      <c r="H82" s="91">
        <v>1.1999999999999999E-3</v>
      </c>
      <c r="I82" s="123">
        <v>1.6999999999999999E-3</v>
      </c>
      <c r="J82" s="91">
        <v>3.8999999999999998E-3</v>
      </c>
      <c r="K82" s="91">
        <v>5.8999999999999999E-3</v>
      </c>
      <c r="L82" s="91">
        <v>8.8999999999999999E-3</v>
      </c>
      <c r="M82" s="91">
        <v>1.34E-2</v>
      </c>
      <c r="N82" s="91">
        <v>2.01E-2</v>
      </c>
      <c r="O82" s="91">
        <v>3.0300000000000001E-2</v>
      </c>
      <c r="P82" s="91">
        <v>4.5499999999999999E-2</v>
      </c>
      <c r="Q82" s="91">
        <v>6.8400000000000002E-2</v>
      </c>
      <c r="R82" s="91">
        <v>0.10290000000000001</v>
      </c>
      <c r="S82" s="91">
        <v>0.15479999999999999</v>
      </c>
      <c r="T82" s="91">
        <v>0.23280000000000001</v>
      </c>
      <c r="U82" s="91">
        <v>0.35</v>
      </c>
      <c r="V82" s="91">
        <v>1</v>
      </c>
    </row>
    <row r="83" spans="1:22">
      <c r="I83" s="91">
        <v>1.6999999999999999E-3</v>
      </c>
    </row>
  </sheetData>
  <sheetProtection algorithmName="SHA-512" hashValue="sTHipC1BbvIKUz2WoBM91P42toeCWgzqb+VRpzQFuKwYNnAxd8gKMfVlnAk/jCDTOWSc7zv19IT7weABV/iLkg==" saltValue="ImanKANLKWLPfPJ80eI5lQ==" spinCount="100000" sheet="1" objects="1" scenarios="1"/>
  <sortState ref="I26:I36">
    <sortCondition ref="I26"/>
  </sortState>
  <mergeCells count="6">
    <mergeCell ref="A67:A68"/>
    <mergeCell ref="A69:A72"/>
    <mergeCell ref="A61:A62"/>
    <mergeCell ref="F61:F62"/>
    <mergeCell ref="A63:A65"/>
    <mergeCell ref="F63:F65"/>
  </mergeCells>
  <pageMargins left="0.7" right="0.7" top="0.75" bottom="0.75" header="0.3" footer="0.3"/>
  <pageSetup orientation="portrait" r:id="rId1"/>
  <headerFooter>
    <oddFooter>&amp;C&amp;1#&amp;"Calibri"&amp;10&amp;K000000Clix Internal Circulation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2"/>
  <sheetViews>
    <sheetView showGridLines="0" workbookViewId="0">
      <selection activeCell="F55" sqref="F55"/>
    </sheetView>
  </sheetViews>
  <sheetFormatPr defaultColWidth="9.140625" defaultRowHeight="15"/>
  <cols>
    <col min="1" max="1" width="16.5703125" style="238" customWidth="1"/>
    <col min="2" max="2" width="47.140625" style="238" customWidth="1"/>
    <col min="3" max="3" width="16.5703125" style="238" customWidth="1"/>
    <col min="4" max="4" width="9.140625" style="238"/>
    <col min="5" max="5" width="15.7109375" style="238" customWidth="1"/>
    <col min="6" max="6" width="9.140625" style="238"/>
    <col min="7" max="7" width="18.42578125" style="238" customWidth="1"/>
    <col min="8" max="10" width="9.140625" style="238"/>
    <col min="11" max="11" width="10.42578125" style="238" bestFit="1" customWidth="1"/>
    <col min="12" max="16384" width="9.140625" style="238"/>
  </cols>
  <sheetData>
    <row r="2" spans="1:11" ht="21" hidden="1">
      <c r="A2" s="750" t="s">
        <v>1505</v>
      </c>
      <c r="B2" s="750"/>
      <c r="C2" s="750"/>
      <c r="D2" s="750"/>
      <c r="E2" s="750"/>
      <c r="F2" s="750"/>
      <c r="G2" s="750"/>
      <c r="H2" s="750"/>
      <c r="I2" s="750"/>
      <c r="J2" s="750"/>
      <c r="K2" s="750"/>
    </row>
    <row r="3" spans="1:11" ht="15" hidden="1" customHeight="1">
      <c r="A3" s="744" t="s">
        <v>384</v>
      </c>
      <c r="B3" s="746" t="s">
        <v>385</v>
      </c>
      <c r="C3" s="748" t="s">
        <v>386</v>
      </c>
      <c r="D3" s="749"/>
      <c r="E3" s="748" t="s">
        <v>387</v>
      </c>
      <c r="F3" s="749"/>
      <c r="G3" s="748" t="s">
        <v>388</v>
      </c>
      <c r="H3" s="749"/>
      <c r="I3" s="746" t="s">
        <v>389</v>
      </c>
      <c r="J3" s="746" t="s">
        <v>1480</v>
      </c>
      <c r="K3" s="746" t="s">
        <v>391</v>
      </c>
    </row>
    <row r="4" spans="1:11" hidden="1">
      <c r="A4" s="745"/>
      <c r="B4" s="747"/>
      <c r="C4" s="365" t="s">
        <v>392</v>
      </c>
      <c r="D4" s="365" t="s">
        <v>390</v>
      </c>
      <c r="E4" s="365" t="s">
        <v>392</v>
      </c>
      <c r="F4" s="365" t="s">
        <v>390</v>
      </c>
      <c r="G4" s="365" t="s">
        <v>392</v>
      </c>
      <c r="H4" s="365" t="s">
        <v>390</v>
      </c>
      <c r="I4" s="747"/>
      <c r="J4" s="747"/>
      <c r="K4" s="747"/>
    </row>
    <row r="5" spans="1:11" hidden="1">
      <c r="A5" s="366" t="s">
        <v>393</v>
      </c>
      <c r="B5" s="366" t="s">
        <v>394</v>
      </c>
      <c r="C5" s="367" t="s">
        <v>395</v>
      </c>
      <c r="D5" s="367">
        <v>10</v>
      </c>
      <c r="E5" s="367" t="s">
        <v>396</v>
      </c>
      <c r="F5" s="367">
        <v>5</v>
      </c>
      <c r="G5" s="367" t="s">
        <v>397</v>
      </c>
      <c r="H5" s="367">
        <v>3</v>
      </c>
      <c r="I5" s="368">
        <v>0.08</v>
      </c>
      <c r="J5" s="366">
        <f>CAM!F30</f>
        <v>0</v>
      </c>
      <c r="K5" s="369">
        <f>IF(J$5&gt;=7,$D$5,(IF(AND(J$5&gt;=4,J$5&lt;7),$F$5,IF(AND(J$5&gt;0,J$5&lt;4),$H$5,0))))*$I$5</f>
        <v>0</v>
      </c>
    </row>
    <row r="6" spans="1:11" hidden="1">
      <c r="A6" s="366" t="s">
        <v>393</v>
      </c>
      <c r="B6" s="366" t="s">
        <v>398</v>
      </c>
      <c r="C6" s="367" t="s">
        <v>399</v>
      </c>
      <c r="D6" s="367">
        <v>10</v>
      </c>
      <c r="E6" s="367" t="s">
        <v>400</v>
      </c>
      <c r="F6" s="367">
        <v>5</v>
      </c>
      <c r="G6" s="367" t="s">
        <v>80</v>
      </c>
      <c r="H6" s="367">
        <v>3</v>
      </c>
      <c r="I6" s="368">
        <v>7.0000000000000007E-2</v>
      </c>
      <c r="J6" s="366" t="str">
        <f>CAM!K31</f>
        <v>Others</v>
      </c>
      <c r="K6" s="369">
        <f>IF(J$6=$C$6,$D$6,(IF(J$6=$E$6,$F$6,(IF(J$6=$G$6,$H$6,0)))))*$I$6</f>
        <v>0.21000000000000002</v>
      </c>
    </row>
    <row r="7" spans="1:11" hidden="1">
      <c r="A7" s="366" t="s">
        <v>393</v>
      </c>
      <c r="B7" s="366" t="s">
        <v>401</v>
      </c>
      <c r="C7" s="367" t="s">
        <v>287</v>
      </c>
      <c r="D7" s="367">
        <v>10</v>
      </c>
      <c r="E7" s="367"/>
      <c r="F7" s="367"/>
      <c r="G7" s="367" t="s">
        <v>402</v>
      </c>
      <c r="H7" s="367">
        <v>3</v>
      </c>
      <c r="I7" s="368">
        <v>0.05</v>
      </c>
      <c r="J7" s="366" t="str">
        <f>IF(CAM!L14="Owned","Yes","No")</f>
        <v>No</v>
      </c>
      <c r="K7" s="369">
        <f>IF(J$7=$C$7,$D$7,(IF(J$7=$G$7,$H$7,0)))*$I$7</f>
        <v>0.15000000000000002</v>
      </c>
    </row>
    <row r="8" spans="1:11" hidden="1">
      <c r="A8" s="366" t="s">
        <v>403</v>
      </c>
      <c r="B8" s="366" t="s">
        <v>1481</v>
      </c>
      <c r="C8" s="367" t="s">
        <v>436</v>
      </c>
      <c r="D8" s="367">
        <v>10</v>
      </c>
      <c r="E8" s="367" t="s">
        <v>437</v>
      </c>
      <c r="F8" s="367">
        <v>5</v>
      </c>
      <c r="G8" s="367" t="s">
        <v>1791</v>
      </c>
      <c r="H8" s="367">
        <v>3</v>
      </c>
      <c r="I8" s="368">
        <v>0.05</v>
      </c>
      <c r="J8" s="370">
        <f>CAM!K19</f>
        <v>0</v>
      </c>
      <c r="K8" s="369">
        <f>IF(J$8&gt;=760,$D$8,(IF(AND(J$8&gt;=721,J$8&lt;760),$F$8,IF(AND(J$8&gt;=700,J$8&lt;=720),$H$8,0))))*$I$8</f>
        <v>0</v>
      </c>
    </row>
    <row r="9" spans="1:11" hidden="1">
      <c r="A9" s="366" t="s">
        <v>403</v>
      </c>
      <c r="B9" s="371" t="s">
        <v>1509</v>
      </c>
      <c r="C9" s="367" t="s">
        <v>439</v>
      </c>
      <c r="D9" s="367">
        <v>10</v>
      </c>
      <c r="E9" s="367" t="s">
        <v>440</v>
      </c>
      <c r="F9" s="367">
        <v>5</v>
      </c>
      <c r="G9" s="367" t="s">
        <v>441</v>
      </c>
      <c r="H9" s="367">
        <v>3</v>
      </c>
      <c r="I9" s="368">
        <v>0.05</v>
      </c>
      <c r="J9" s="372">
        <f>CAM!K18</f>
        <v>0</v>
      </c>
      <c r="K9" s="369">
        <f>IF(AND(J$9&gt;=1,J$9&lt;=3),$D$9,(IF(AND(J$9&gt;=4,J$9&lt;=5),$F$9,IF(AND(J$9&gt;=6,J$9&lt;=7),$H$9,(IF(J$9="NA",0,0))))))*$I$9</f>
        <v>0</v>
      </c>
    </row>
    <row r="10" spans="1:11" hidden="1">
      <c r="A10" s="366" t="s">
        <v>404</v>
      </c>
      <c r="B10" s="366" t="s">
        <v>405</v>
      </c>
      <c r="C10" s="367" t="s">
        <v>406</v>
      </c>
      <c r="D10" s="367">
        <v>10</v>
      </c>
      <c r="E10" s="367" t="s">
        <v>407</v>
      </c>
      <c r="F10" s="367">
        <v>5</v>
      </c>
      <c r="G10" s="367" t="s">
        <v>408</v>
      </c>
      <c r="H10" s="367">
        <v>3</v>
      </c>
      <c r="I10" s="368">
        <v>0.1</v>
      </c>
      <c r="J10" s="373">
        <f>Eligibility!G36</f>
        <v>0</v>
      </c>
      <c r="K10" s="369">
        <f>IF(J$10&gt;=50,$D$10,(IF(AND(J$10&gt;=40,J$10&lt;50),$F$10,IF(J$10&lt;40,$H$10,0))))*$I$10</f>
        <v>0.30000000000000004</v>
      </c>
    </row>
    <row r="11" spans="1:11" hidden="1">
      <c r="A11" s="366" t="s">
        <v>404</v>
      </c>
      <c r="B11" s="366" t="s">
        <v>409</v>
      </c>
      <c r="C11" s="367" t="s">
        <v>410</v>
      </c>
      <c r="D11" s="367">
        <v>10</v>
      </c>
      <c r="E11" s="367" t="s">
        <v>411</v>
      </c>
      <c r="F11" s="367">
        <v>5</v>
      </c>
      <c r="G11" s="367" t="s">
        <v>412</v>
      </c>
      <c r="H11" s="367">
        <v>3</v>
      </c>
      <c r="I11" s="368">
        <v>0.1</v>
      </c>
      <c r="J11" s="373">
        <f>Eligibility!G27</f>
        <v>0</v>
      </c>
      <c r="K11" s="369">
        <f>IF(J$11&gt;=150,$D$11,(IF(AND(J$11&gt;=50,J$11&lt;150),$F$11,IF(J$11&lt;50,$H$11,0))))*$I$11</f>
        <v>0.30000000000000004</v>
      </c>
    </row>
    <row r="12" spans="1:11" hidden="1">
      <c r="A12" s="366" t="s">
        <v>404</v>
      </c>
      <c r="B12" s="366" t="s">
        <v>413</v>
      </c>
      <c r="C12" s="367" t="s">
        <v>414</v>
      </c>
      <c r="D12" s="367">
        <v>10</v>
      </c>
      <c r="E12" s="367" t="s">
        <v>415</v>
      </c>
      <c r="F12" s="367">
        <v>5</v>
      </c>
      <c r="G12" s="367" t="s">
        <v>416</v>
      </c>
      <c r="H12" s="367">
        <v>3</v>
      </c>
      <c r="I12" s="368">
        <v>0.1</v>
      </c>
      <c r="J12" s="374">
        <f>Eligibility!G29</f>
        <v>0</v>
      </c>
      <c r="K12" s="369">
        <f>IF(J$12&gt;=0.15,$D$12,(IF(AND(J$12&gt;=0.1,J$12&lt;0.15),$F$12,IF(J$12&lt;0.1,$H$12,0))))*$I$12</f>
        <v>0.30000000000000004</v>
      </c>
    </row>
    <row r="13" spans="1:11" hidden="1">
      <c r="A13" s="366" t="s">
        <v>404</v>
      </c>
      <c r="B13" s="366" t="s">
        <v>417</v>
      </c>
      <c r="C13" s="367" t="s">
        <v>418</v>
      </c>
      <c r="D13" s="367">
        <v>10</v>
      </c>
      <c r="E13" s="367" t="s">
        <v>419</v>
      </c>
      <c r="F13" s="367">
        <v>5</v>
      </c>
      <c r="G13" s="367" t="s">
        <v>420</v>
      </c>
      <c r="H13" s="367">
        <v>0</v>
      </c>
      <c r="I13" s="368">
        <v>0.1</v>
      </c>
      <c r="J13" s="373">
        <f>Eligibility!G39</f>
        <v>0</v>
      </c>
      <c r="K13" s="369">
        <f>IF(J$13&lt;=3,$D$13,(IF(AND(J$13&lt;=3.5,J$13&gt;3),$F$13,IF(J$13&gt;3.5,$H$13,0))))*$I$13</f>
        <v>1</v>
      </c>
    </row>
    <row r="14" spans="1:11" hidden="1">
      <c r="A14" s="366" t="s">
        <v>404</v>
      </c>
      <c r="B14" s="366" t="s">
        <v>421</v>
      </c>
      <c r="C14" s="367" t="s">
        <v>422</v>
      </c>
      <c r="D14" s="367">
        <v>10</v>
      </c>
      <c r="E14" s="367" t="s">
        <v>423</v>
      </c>
      <c r="F14" s="367">
        <v>5</v>
      </c>
      <c r="G14" s="367" t="s">
        <v>424</v>
      </c>
      <c r="H14" s="367">
        <v>0</v>
      </c>
      <c r="I14" s="368">
        <v>0.1</v>
      </c>
      <c r="J14" s="373">
        <f>Eligibility!G37</f>
        <v>0</v>
      </c>
      <c r="K14" s="369">
        <f>IF(J$14&gt;=1.1,$D$14,(IF(AND(J$14&gt;=1,J$14&lt;1.1),$F$14,IF(J$14&lt;1,$H$14,0))))*$I$14</f>
        <v>0</v>
      </c>
    </row>
    <row r="15" spans="1:11" hidden="1">
      <c r="A15" s="366" t="s">
        <v>377</v>
      </c>
      <c r="B15" s="366" t="s">
        <v>425</v>
      </c>
      <c r="C15" s="367" t="s">
        <v>426</v>
      </c>
      <c r="D15" s="367">
        <v>10</v>
      </c>
      <c r="E15" s="367" t="s">
        <v>427</v>
      </c>
      <c r="F15" s="367">
        <v>5</v>
      </c>
      <c r="G15" s="367" t="s">
        <v>428</v>
      </c>
      <c r="H15" s="367">
        <v>0</v>
      </c>
      <c r="I15" s="368">
        <v>0.1</v>
      </c>
      <c r="J15" s="374">
        <f>Banking!Q10</f>
        <v>0</v>
      </c>
      <c r="K15" s="369">
        <f>IF(J$15&gt;=0.8,$D$15,(IF(AND(J$15&gt;=0.6,J$15&lt;0.8),$F$15,IF(J$15&lt;0.6,$H$15,0))))*$I$15</f>
        <v>0</v>
      </c>
    </row>
    <row r="16" spans="1:11" hidden="1">
      <c r="A16" s="366" t="s">
        <v>377</v>
      </c>
      <c r="B16" s="366" t="s">
        <v>429</v>
      </c>
      <c r="C16" s="367" t="s">
        <v>430</v>
      </c>
      <c r="D16" s="367">
        <v>10</v>
      </c>
      <c r="E16" s="367" t="s">
        <v>1493</v>
      </c>
      <c r="F16" s="367">
        <v>5</v>
      </c>
      <c r="G16" s="367" t="s">
        <v>1494</v>
      </c>
      <c r="H16" s="367">
        <v>0</v>
      </c>
      <c r="I16" s="368">
        <v>0.05</v>
      </c>
      <c r="J16" s="373">
        <f>Banking!N10</f>
        <v>2.4116060184797012</v>
      </c>
      <c r="K16" s="369">
        <f>IF(J$16&gt;=1.5,$D$16,(IF(AND(J$16&gt;=1,J$16&lt;1.5),$F$16,IF(J$16&lt;1,$H$16,0))))*$I$16</f>
        <v>0.5</v>
      </c>
    </row>
    <row r="17" spans="1:11" hidden="1">
      <c r="A17" s="366" t="s">
        <v>377</v>
      </c>
      <c r="B17" s="366" t="s">
        <v>431</v>
      </c>
      <c r="C17" s="367" t="s">
        <v>1506</v>
      </c>
      <c r="D17" s="367">
        <v>10</v>
      </c>
      <c r="E17" s="367" t="s">
        <v>1507</v>
      </c>
      <c r="F17" s="367">
        <v>5</v>
      </c>
      <c r="G17" s="367" t="s">
        <v>1508</v>
      </c>
      <c r="H17" s="367">
        <v>0</v>
      </c>
      <c r="I17" s="368">
        <v>0.05</v>
      </c>
      <c r="J17" s="374">
        <f>Banking!L9</f>
        <v>0</v>
      </c>
      <c r="K17" s="369">
        <f>IF(J$17&lt;=0.02,$D$17,(IF(AND(J$17&gt;0.02,J$17&lt;=0.03),$F$17,IF(J$17&gt;0.03,$H$17,0))))*$I$17</f>
        <v>0.5</v>
      </c>
    </row>
    <row r="18" spans="1:11" hidden="1">
      <c r="A18" s="366"/>
      <c r="B18" s="366" t="s">
        <v>432</v>
      </c>
      <c r="C18" s="367"/>
      <c r="D18" s="367"/>
      <c r="E18" s="367"/>
      <c r="F18" s="367"/>
      <c r="G18" s="367"/>
      <c r="H18" s="367"/>
      <c r="I18" s="368">
        <f>SUM(I5:I17)</f>
        <v>1</v>
      </c>
      <c r="J18" s="369"/>
      <c r="K18" s="369">
        <f>SUM(K5:K17)</f>
        <v>3.2600000000000002</v>
      </c>
    </row>
    <row r="19" spans="1:11" ht="24" hidden="1" customHeight="1">
      <c r="A19" s="375"/>
      <c r="B19" s="375"/>
      <c r="C19" s="376"/>
      <c r="D19" s="376"/>
      <c r="E19" s="376"/>
      <c r="F19" s="376"/>
      <c r="G19" s="376"/>
      <c r="H19" s="376"/>
      <c r="I19" s="742" t="s">
        <v>1722</v>
      </c>
      <c r="J19" s="742"/>
      <c r="K19" s="377" t="str">
        <f>IF(K18&lt;6,"Category C",IF(OR(K18=6,K18=7,K18=8),"Category B","Category A"))</f>
        <v>Category C</v>
      </c>
    </row>
    <row r="20" spans="1:11" hidden="1">
      <c r="A20" s="378"/>
      <c r="B20" s="378"/>
      <c r="C20" s="378"/>
      <c r="D20" s="378"/>
      <c r="E20" s="378"/>
      <c r="F20" s="378"/>
      <c r="G20" s="378"/>
      <c r="H20" s="378"/>
      <c r="I20" s="378"/>
      <c r="J20" s="378"/>
      <c r="K20" s="378"/>
    </row>
    <row r="21" spans="1:11" ht="21" hidden="1">
      <c r="A21" s="750" t="s">
        <v>1504</v>
      </c>
      <c r="B21" s="750"/>
      <c r="C21" s="750"/>
      <c r="D21" s="750"/>
      <c r="E21" s="750"/>
      <c r="F21" s="750"/>
      <c r="G21" s="750"/>
      <c r="H21" s="750"/>
      <c r="I21" s="750"/>
      <c r="J21" s="750"/>
      <c r="K21" s="750"/>
    </row>
    <row r="22" spans="1:11" ht="15" hidden="1" customHeight="1">
      <c r="A22" s="753" t="s">
        <v>433</v>
      </c>
      <c r="B22" s="751" t="s">
        <v>385</v>
      </c>
      <c r="C22" s="754"/>
      <c r="D22" s="754"/>
      <c r="E22" s="754"/>
      <c r="F22" s="754"/>
      <c r="G22" s="754"/>
      <c r="H22" s="754"/>
      <c r="I22" s="751" t="s">
        <v>389</v>
      </c>
      <c r="J22" s="752" t="s">
        <v>1480</v>
      </c>
      <c r="K22" s="752" t="s">
        <v>391</v>
      </c>
    </row>
    <row r="23" spans="1:11" hidden="1">
      <c r="A23" s="753"/>
      <c r="B23" s="751"/>
      <c r="C23" s="379" t="s">
        <v>392</v>
      </c>
      <c r="D23" s="379" t="s">
        <v>390</v>
      </c>
      <c r="E23" s="379" t="s">
        <v>392</v>
      </c>
      <c r="F23" s="379" t="s">
        <v>390</v>
      </c>
      <c r="G23" s="379" t="s">
        <v>392</v>
      </c>
      <c r="H23" s="379" t="s">
        <v>390</v>
      </c>
      <c r="I23" s="751"/>
      <c r="J23" s="752"/>
      <c r="K23" s="752"/>
    </row>
    <row r="24" spans="1:11" hidden="1">
      <c r="A24" s="380" t="s">
        <v>393</v>
      </c>
      <c r="B24" s="380" t="s">
        <v>394</v>
      </c>
      <c r="C24" s="381" t="s">
        <v>395</v>
      </c>
      <c r="D24" s="381">
        <v>10</v>
      </c>
      <c r="E24" s="381" t="s">
        <v>396</v>
      </c>
      <c r="F24" s="381">
        <v>5</v>
      </c>
      <c r="G24" s="381" t="s">
        <v>397</v>
      </c>
      <c r="H24" s="381">
        <v>3</v>
      </c>
      <c r="I24" s="382">
        <v>0.08</v>
      </c>
      <c r="J24" s="383">
        <f>CAM!F30</f>
        <v>0</v>
      </c>
      <c r="K24" s="369">
        <f>IF(J$24&gt;=7,$D$24,(IF(AND(J$24&gt;=4,J$24&lt;7),$F$24,IF(AND(J$24&gt;0,J$24&lt;4),$H$24,0))))*$I$24</f>
        <v>0</v>
      </c>
    </row>
    <row r="25" spans="1:11" ht="18.75" hidden="1" customHeight="1">
      <c r="A25" s="380" t="s">
        <v>393</v>
      </c>
      <c r="B25" s="380" t="s">
        <v>398</v>
      </c>
      <c r="C25" s="381" t="s">
        <v>399</v>
      </c>
      <c r="D25" s="381">
        <v>10</v>
      </c>
      <c r="E25" s="381" t="s">
        <v>400</v>
      </c>
      <c r="F25" s="381">
        <v>5</v>
      </c>
      <c r="G25" s="381" t="s">
        <v>80</v>
      </c>
      <c r="H25" s="381">
        <v>3</v>
      </c>
      <c r="I25" s="382">
        <v>0.06</v>
      </c>
      <c r="J25" s="383" t="str">
        <f>CAM!K31</f>
        <v>Others</v>
      </c>
      <c r="K25" s="369">
        <f>IF(J$25=$C$25,$D$25,(IF(J$25=$E$25,$F$25,(IF(J$25=$G$25,$H$25,0)))))*$I$25</f>
        <v>0.18</v>
      </c>
    </row>
    <row r="26" spans="1:11" hidden="1">
      <c r="A26" s="380" t="s">
        <v>393</v>
      </c>
      <c r="B26" s="380" t="s">
        <v>434</v>
      </c>
      <c r="C26" s="381" t="s">
        <v>287</v>
      </c>
      <c r="D26" s="381">
        <v>10</v>
      </c>
      <c r="E26" s="381"/>
      <c r="F26" s="381">
        <v>5</v>
      </c>
      <c r="G26" s="381" t="s">
        <v>402</v>
      </c>
      <c r="H26" s="381">
        <v>0</v>
      </c>
      <c r="I26" s="382">
        <v>0.04</v>
      </c>
      <c r="J26" s="383" t="str">
        <f>IF(CAM!L14="Owned","Yes","No")</f>
        <v>No</v>
      </c>
      <c r="K26" s="369">
        <f>IF(J$26=$C$26,$D$26,(IF(J$26=$G$26,$H$26,0)))*$I$26</f>
        <v>0</v>
      </c>
    </row>
    <row r="27" spans="1:11" hidden="1">
      <c r="A27" s="380" t="s">
        <v>403</v>
      </c>
      <c r="B27" s="380" t="s">
        <v>435</v>
      </c>
      <c r="C27" s="381" t="s">
        <v>436</v>
      </c>
      <c r="D27" s="381">
        <v>10</v>
      </c>
      <c r="E27" s="381" t="s">
        <v>437</v>
      </c>
      <c r="F27" s="381">
        <v>5</v>
      </c>
      <c r="G27" s="381" t="s">
        <v>1492</v>
      </c>
      <c r="H27" s="381">
        <v>3</v>
      </c>
      <c r="I27" s="382">
        <v>0.03</v>
      </c>
      <c r="J27" s="384">
        <f>CAM!K19</f>
        <v>0</v>
      </c>
      <c r="K27" s="369">
        <f>IF(J$27&gt;=760,$D$27,(IF(AND(J$27&gt;=721,J$27&lt;760),$F$27,IF(J$27&lt;=720,$H$27,0))))*$I$27</f>
        <v>0.09</v>
      </c>
    </row>
    <row r="28" spans="1:11" hidden="1">
      <c r="A28" s="380" t="s">
        <v>403</v>
      </c>
      <c r="B28" s="380" t="s">
        <v>438</v>
      </c>
      <c r="C28" s="381" t="s">
        <v>439</v>
      </c>
      <c r="D28" s="381">
        <v>10</v>
      </c>
      <c r="E28" s="381" t="s">
        <v>440</v>
      </c>
      <c r="F28" s="381">
        <v>5</v>
      </c>
      <c r="G28" s="381" t="s">
        <v>441</v>
      </c>
      <c r="H28" s="381">
        <v>3</v>
      </c>
      <c r="I28" s="382">
        <v>0.03</v>
      </c>
      <c r="J28" s="383">
        <f>CAM!K18</f>
        <v>0</v>
      </c>
      <c r="K28" s="369">
        <f>IF(AND(J$28&gt;=1,J$28&lt;=3),$D$28,(IF(AND(J$28&gt;=4,J$28&lt;=5),$F$28,IF(AND(J$28&gt;=6,J$28&lt;=7),$H$28,(IF(J$28="NA",$H$28,0))))))*$I$28</f>
        <v>0</v>
      </c>
    </row>
    <row r="29" spans="1:11" hidden="1">
      <c r="A29" s="380" t="s">
        <v>442</v>
      </c>
      <c r="B29" s="380" t="s">
        <v>405</v>
      </c>
      <c r="C29" s="385" t="s">
        <v>1495</v>
      </c>
      <c r="D29" s="381">
        <v>10</v>
      </c>
      <c r="E29" s="381" t="s">
        <v>443</v>
      </c>
      <c r="F29" s="381">
        <v>5</v>
      </c>
      <c r="G29" s="381" t="s">
        <v>444</v>
      </c>
      <c r="H29" s="381">
        <v>3</v>
      </c>
      <c r="I29" s="382">
        <v>0.1</v>
      </c>
      <c r="J29" s="386">
        <f>Eligibility!G36</f>
        <v>0</v>
      </c>
      <c r="K29" s="369">
        <f>IF(J$29&gt;=300,$D$29,(IF(AND(J$29&gt;=150,J$29&lt;300),$F$29,IF(J$29&lt;150,$H$29,0))))*$I$29</f>
        <v>0.30000000000000004</v>
      </c>
    </row>
    <row r="30" spans="1:11" hidden="1">
      <c r="A30" s="380" t="s">
        <v>442</v>
      </c>
      <c r="B30" s="380" t="s">
        <v>409</v>
      </c>
      <c r="C30" s="385" t="s">
        <v>1496</v>
      </c>
      <c r="D30" s="381">
        <v>10</v>
      </c>
      <c r="E30" s="381" t="s">
        <v>445</v>
      </c>
      <c r="F30" s="381">
        <v>5</v>
      </c>
      <c r="G30" s="381" t="s">
        <v>446</v>
      </c>
      <c r="H30" s="381">
        <v>3</v>
      </c>
      <c r="I30" s="382">
        <v>0.09</v>
      </c>
      <c r="J30" s="386">
        <f>Eligibility!G27</f>
        <v>0</v>
      </c>
      <c r="K30" s="369">
        <f>IF(J$30&gt;=500,$D$30,(IF(AND(J$30&gt;=200,J$30&lt;500),$F$30,IF(J$30&lt;200,$H$30,0))))*$I$30</f>
        <v>0.27</v>
      </c>
    </row>
    <row r="31" spans="1:11" hidden="1">
      <c r="A31" s="380" t="s">
        <v>442</v>
      </c>
      <c r="B31" s="380" t="s">
        <v>413</v>
      </c>
      <c r="C31" s="385" t="s">
        <v>1497</v>
      </c>
      <c r="D31" s="381">
        <v>10</v>
      </c>
      <c r="E31" s="381" t="s">
        <v>447</v>
      </c>
      <c r="F31" s="381">
        <v>5</v>
      </c>
      <c r="G31" s="381" t="s">
        <v>448</v>
      </c>
      <c r="H31" s="381">
        <v>3</v>
      </c>
      <c r="I31" s="382">
        <v>0.09</v>
      </c>
      <c r="J31" s="387">
        <f>Eligibility!G29</f>
        <v>0</v>
      </c>
      <c r="K31" s="369">
        <f>IF(J$31&gt;=0.2,$D$31,(IF(AND(J$31&gt;=0.15,J$31&lt;0.2),$F$31,IF(J$31&lt;0.15,$H$31,0))))*$I$31</f>
        <v>0.27</v>
      </c>
    </row>
    <row r="32" spans="1:11" hidden="1">
      <c r="A32" s="380" t="s">
        <v>442</v>
      </c>
      <c r="B32" s="380" t="s">
        <v>1491</v>
      </c>
      <c r="C32" s="381" t="s">
        <v>418</v>
      </c>
      <c r="D32" s="381">
        <v>10</v>
      </c>
      <c r="E32" s="381" t="s">
        <v>449</v>
      </c>
      <c r="F32" s="381">
        <v>5</v>
      </c>
      <c r="G32" s="381" t="s">
        <v>450</v>
      </c>
      <c r="H32" s="381">
        <v>0</v>
      </c>
      <c r="I32" s="382">
        <v>0.08</v>
      </c>
      <c r="J32" s="386">
        <f>Eligibility!G41</f>
        <v>0</v>
      </c>
      <c r="K32" s="369">
        <f>IF(J$32&lt;=3,$D$32,(IF(AND(J$32&lt;=5,J$32&gt;3),$F$32,IF(J$32&gt;5,$H$32,0))))*$I$32</f>
        <v>0.8</v>
      </c>
    </row>
    <row r="33" spans="1:11" hidden="1">
      <c r="A33" s="380" t="s">
        <v>442</v>
      </c>
      <c r="B33" s="380" t="s">
        <v>451</v>
      </c>
      <c r="C33" s="381" t="s">
        <v>418</v>
      </c>
      <c r="D33" s="381">
        <v>10</v>
      </c>
      <c r="E33" s="381" t="s">
        <v>419</v>
      </c>
      <c r="F33" s="381">
        <v>5</v>
      </c>
      <c r="G33" s="381" t="s">
        <v>420</v>
      </c>
      <c r="H33" s="381">
        <v>3</v>
      </c>
      <c r="I33" s="382">
        <v>0.08</v>
      </c>
      <c r="J33" s="386">
        <f>Eligibility!G39</f>
        <v>0</v>
      </c>
      <c r="K33" s="369">
        <f>IF(J$33&lt;=3,$D$33,(IF(AND(J$33&lt;=3.5,J$33&gt;3),$F$33,IF(J$33&gt;3.5,$H$33,0))))*$I$33</f>
        <v>0.8</v>
      </c>
    </row>
    <row r="34" spans="1:11" hidden="1">
      <c r="A34" s="380" t="s">
        <v>442</v>
      </c>
      <c r="B34" s="380" t="s">
        <v>452</v>
      </c>
      <c r="C34" s="381" t="s">
        <v>453</v>
      </c>
      <c r="D34" s="381">
        <v>10</v>
      </c>
      <c r="E34" s="381" t="s">
        <v>454</v>
      </c>
      <c r="F34" s="381">
        <v>5</v>
      </c>
      <c r="G34" s="381" t="s">
        <v>455</v>
      </c>
      <c r="H34" s="381">
        <v>3</v>
      </c>
      <c r="I34" s="382">
        <v>0.05</v>
      </c>
      <c r="J34" s="386">
        <f>Eligibility!G40</f>
        <v>0</v>
      </c>
      <c r="K34" s="369">
        <f>IF(J$34&lt;=5,$D$34,(IF(AND(J$34&lt;=6,J$34&gt;5),$F$34,IF(J$34&gt;7,$H$34,0))))*$I$34</f>
        <v>0.5</v>
      </c>
    </row>
    <row r="35" spans="1:11" hidden="1">
      <c r="A35" s="380" t="s">
        <v>442</v>
      </c>
      <c r="B35" s="380" t="s">
        <v>456</v>
      </c>
      <c r="C35" s="385" t="s">
        <v>1498</v>
      </c>
      <c r="D35" s="381">
        <v>10</v>
      </c>
      <c r="E35" s="381" t="s">
        <v>1490</v>
      </c>
      <c r="F35" s="381">
        <v>5</v>
      </c>
      <c r="G35" s="381" t="s">
        <v>1489</v>
      </c>
      <c r="H35" s="381">
        <v>0</v>
      </c>
      <c r="I35" s="382">
        <v>0.08</v>
      </c>
      <c r="J35" s="386">
        <f>Eligibility!G37</f>
        <v>0</v>
      </c>
      <c r="K35" s="369">
        <f>IF(J$35&gt;=1.4,$D$35,(IF(AND(J$35&gt;=1.2,J$35&lt;1.4),$F$35,IF(J$35&lt;1.2,$H$35,0))))*$I$35</f>
        <v>0</v>
      </c>
    </row>
    <row r="36" spans="1:11" hidden="1">
      <c r="A36" s="380" t="s">
        <v>442</v>
      </c>
      <c r="B36" s="380" t="s">
        <v>457</v>
      </c>
      <c r="C36" s="385" t="s">
        <v>1499</v>
      </c>
      <c r="D36" s="381">
        <v>10</v>
      </c>
      <c r="E36" s="385" t="s">
        <v>1500</v>
      </c>
      <c r="F36" s="381">
        <v>5</v>
      </c>
      <c r="G36" s="385" t="s">
        <v>1501</v>
      </c>
      <c r="H36" s="381">
        <v>3</v>
      </c>
      <c r="I36" s="382">
        <v>0.05</v>
      </c>
      <c r="J36" s="386">
        <f>Eligibility!G38</f>
        <v>0</v>
      </c>
      <c r="K36" s="369">
        <f>IF(J$36&gt;=1.2,$D$36,(IF(AND(J$36&gt;=1,J$36&lt;1.2),$F$36,IF(J$36&lt;1,$H$36,0))))*$I$36</f>
        <v>0.15000000000000002</v>
      </c>
    </row>
    <row r="37" spans="1:11" hidden="1">
      <c r="A37" s="380" t="s">
        <v>377</v>
      </c>
      <c r="B37" s="380" t="s">
        <v>1488</v>
      </c>
      <c r="C37" s="381" t="s">
        <v>426</v>
      </c>
      <c r="D37" s="381">
        <v>10</v>
      </c>
      <c r="E37" s="381" t="s">
        <v>427</v>
      </c>
      <c r="F37" s="381">
        <v>5</v>
      </c>
      <c r="G37" s="381" t="s">
        <v>428</v>
      </c>
      <c r="H37" s="381">
        <v>0</v>
      </c>
      <c r="I37" s="382">
        <v>0.05</v>
      </c>
      <c r="J37" s="388" t="e">
        <f>Banking!R10</f>
        <v>#DIV/0!</v>
      </c>
      <c r="K37" s="369" t="e">
        <f>IF(J$37&gt;=0.8,$D$37,(IF(AND(J$37&gt;=0.6,J$37&lt;0.8),$F$37,IF(J$37&lt;0.6,$H$37,0))))*$I$37</f>
        <v>#DIV/0!</v>
      </c>
    </row>
    <row r="38" spans="1:11" hidden="1">
      <c r="A38" s="380" t="s">
        <v>377</v>
      </c>
      <c r="B38" s="380" t="s">
        <v>1487</v>
      </c>
      <c r="C38" s="381" t="s">
        <v>430</v>
      </c>
      <c r="D38" s="381">
        <v>10</v>
      </c>
      <c r="E38" s="385" t="s">
        <v>1502</v>
      </c>
      <c r="F38" s="381">
        <v>5</v>
      </c>
      <c r="G38" s="385" t="s">
        <v>1503</v>
      </c>
      <c r="H38" s="381">
        <v>0</v>
      </c>
      <c r="I38" s="382">
        <v>0.05</v>
      </c>
      <c r="J38" s="386">
        <f>Banking!N10</f>
        <v>2.4116060184797012</v>
      </c>
      <c r="K38" s="369">
        <f>IF(J$38&gt;=1.5,$D$38,(IF(AND(J$38&gt;=1,J$38&lt;1.5),$F$38,IF(J$38&lt;1,$H$38,0))))*$I$38</f>
        <v>0.5</v>
      </c>
    </row>
    <row r="39" spans="1:11" hidden="1">
      <c r="A39" s="380" t="s">
        <v>377</v>
      </c>
      <c r="B39" s="380" t="s">
        <v>458</v>
      </c>
      <c r="C39" s="381" t="s">
        <v>459</v>
      </c>
      <c r="D39" s="381">
        <v>10</v>
      </c>
      <c r="E39" s="381" t="s">
        <v>460</v>
      </c>
      <c r="F39" s="381">
        <v>5</v>
      </c>
      <c r="G39" s="381" t="s">
        <v>461</v>
      </c>
      <c r="H39" s="381">
        <v>3</v>
      </c>
      <c r="I39" s="382">
        <v>0.02</v>
      </c>
      <c r="J39" s="389" t="str">
        <f>CAM!K45</f>
        <v>Type B</v>
      </c>
      <c r="K39" s="369">
        <f>IF(J$39=$C$39,$D$39,(IF(J$39=$E$39,$F$39,(IF(J$39=$G$39,$H$39,0)))))*$I$39</f>
        <v>0.1</v>
      </c>
    </row>
    <row r="40" spans="1:11" hidden="1">
      <c r="A40" s="380" t="s">
        <v>377</v>
      </c>
      <c r="B40" s="380" t="s">
        <v>1486</v>
      </c>
      <c r="C40" s="381" t="s">
        <v>1485</v>
      </c>
      <c r="D40" s="381">
        <v>10</v>
      </c>
      <c r="E40" s="381" t="s">
        <v>1484</v>
      </c>
      <c r="F40" s="381">
        <v>7</v>
      </c>
      <c r="G40" s="381" t="s">
        <v>1483</v>
      </c>
      <c r="H40" s="381">
        <v>0</v>
      </c>
      <c r="I40" s="382">
        <v>0.02</v>
      </c>
      <c r="J40" s="388">
        <f>Banking!L9</f>
        <v>0</v>
      </c>
      <c r="K40" s="369">
        <f>IF(J$40&lt;=0.02,$D$40,(IF(AND(J$40&gt;0.02,J$40&lt;=0.03),$F$40,IF(J$40&gt;0.03,$H$40,0))))*$I$40</f>
        <v>0.2</v>
      </c>
    </row>
    <row r="41" spans="1:11" hidden="1">
      <c r="A41" s="380"/>
      <c r="B41" s="380" t="s">
        <v>432</v>
      </c>
      <c r="C41" s="381"/>
      <c r="D41" s="381"/>
      <c r="E41" s="381"/>
      <c r="F41" s="381"/>
      <c r="G41" s="381"/>
      <c r="H41" s="381"/>
      <c r="I41" s="382">
        <v>1</v>
      </c>
      <c r="J41" s="390"/>
      <c r="K41" s="391" t="e">
        <f>SUM(K24:K40)</f>
        <v>#DIV/0!</v>
      </c>
    </row>
    <row r="42" spans="1:11" hidden="1">
      <c r="A42" s="378"/>
      <c r="B42" s="378"/>
      <c r="C42" s="378"/>
      <c r="D42" s="378"/>
      <c r="E42" s="378"/>
      <c r="F42" s="378"/>
      <c r="G42" s="378"/>
      <c r="H42" s="378"/>
      <c r="I42" s="743" t="s">
        <v>1722</v>
      </c>
      <c r="J42" s="743"/>
      <c r="K42" s="378" t="e">
        <f>IF(K41&lt;6,"Category C",IF(OR(K41=6,K41=7,K41=8),"Category B","Category A"))</f>
        <v>#DIV/0!</v>
      </c>
    </row>
  </sheetData>
  <sheetProtection algorithmName="SHA-512" hashValue="ohcUOnCP5s2TKhsJzhT5QzGOIwuTcU6/DBtOzQa1joYV/HG3uNk9FVy6qSfSaMN0BANN4XCKCphmEAVpmTlLXA==" saltValue="MstUX81RYZtTZwRDpqvnwQ==" spinCount="100000" sheet="1" objects="1" scenarios="1"/>
  <mergeCells count="20">
    <mergeCell ref="A2:K2"/>
    <mergeCell ref="G3:H3"/>
    <mergeCell ref="I3:I4"/>
    <mergeCell ref="J3:J4"/>
    <mergeCell ref="K3:K4"/>
    <mergeCell ref="I19:J19"/>
    <mergeCell ref="I42:J42"/>
    <mergeCell ref="A3:A4"/>
    <mergeCell ref="B3:B4"/>
    <mergeCell ref="C3:D3"/>
    <mergeCell ref="E3:F3"/>
    <mergeCell ref="A21:K21"/>
    <mergeCell ref="I22:I23"/>
    <mergeCell ref="J22:J23"/>
    <mergeCell ref="K22:K23"/>
    <mergeCell ref="A22:A23"/>
    <mergeCell ref="B22:B23"/>
    <mergeCell ref="C22:D22"/>
    <mergeCell ref="E22:F22"/>
    <mergeCell ref="G22:H22"/>
  </mergeCells>
  <dataValidations disablePrompts="1" count="1">
    <dataValidation type="list" allowBlank="1" showInputMessage="1" showErrorMessage="1" sqref="J28">
      <formula1>"1,2,3,4,5,6,7,8,9,10,NA"</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142"/>
  <sheetViews>
    <sheetView showGridLines="0" showZeros="0" view="pageBreakPreview" zoomScaleNormal="85" zoomScaleSheetLayoutView="100" workbookViewId="0">
      <selection activeCell="E6" sqref="E6:I6"/>
    </sheetView>
  </sheetViews>
  <sheetFormatPr defaultColWidth="9.140625" defaultRowHeight="15"/>
  <cols>
    <col min="1" max="1" width="2.5703125" style="176" customWidth="1"/>
    <col min="2" max="3" width="9.140625" style="176" customWidth="1"/>
    <col min="4" max="4" width="11.42578125" style="176" customWidth="1"/>
    <col min="5" max="9" width="9.140625" style="176"/>
    <col min="10" max="10" width="8" style="176" customWidth="1"/>
    <col min="11" max="11" width="9.140625" style="176" customWidth="1"/>
    <col min="12" max="12" width="2.5703125" style="176" customWidth="1"/>
    <col min="13" max="16384" width="9.140625" style="130"/>
  </cols>
  <sheetData>
    <row r="2" spans="2:11">
      <c r="B2" s="187"/>
      <c r="C2" s="187"/>
      <c r="D2" s="781" t="s">
        <v>1514</v>
      </c>
      <c r="E2" s="781"/>
      <c r="F2" s="781"/>
      <c r="G2" s="781"/>
      <c r="H2" s="781"/>
      <c r="I2" s="781"/>
      <c r="J2" s="187"/>
      <c r="K2" s="187"/>
    </row>
    <row r="3" spans="2:11">
      <c r="B3" s="187"/>
      <c r="C3" s="187"/>
      <c r="D3" s="782" t="s">
        <v>1515</v>
      </c>
      <c r="E3" s="782"/>
      <c r="F3" s="782"/>
      <c r="G3" s="782"/>
      <c r="H3" s="782"/>
      <c r="I3" s="782"/>
      <c r="J3" s="187"/>
      <c r="K3" s="187"/>
    </row>
    <row r="4" spans="2:11">
      <c r="B4" s="187"/>
      <c r="C4" s="187"/>
      <c r="D4" s="187"/>
      <c r="E4" s="187"/>
      <c r="F4" s="187"/>
      <c r="G4" s="187"/>
      <c r="H4" s="187"/>
      <c r="I4" s="187"/>
      <c r="J4" s="187"/>
      <c r="K4" s="187"/>
    </row>
    <row r="5" spans="2:11">
      <c r="B5" s="779" t="s">
        <v>1516</v>
      </c>
      <c r="C5" s="779"/>
      <c r="D5" s="779"/>
      <c r="E5" s="779" t="str">
        <f>CAM!D12</f>
        <v>Atrium Newgen Diagnostics</v>
      </c>
      <c r="F5" s="779"/>
      <c r="G5" s="779"/>
      <c r="H5" s="779"/>
      <c r="I5" s="779"/>
      <c r="J5" s="783" t="s">
        <v>1517</v>
      </c>
      <c r="K5" s="783"/>
    </row>
    <row r="6" spans="2:11">
      <c r="B6" s="779" t="s">
        <v>1535</v>
      </c>
      <c r="C6" s="779"/>
      <c r="D6" s="779"/>
      <c r="E6" s="779">
        <f>CAM!D18</f>
        <v>0</v>
      </c>
      <c r="F6" s="779"/>
      <c r="G6" s="779"/>
      <c r="H6" s="779"/>
      <c r="I6" s="779"/>
      <c r="J6" s="783">
        <f>CAM!P6</f>
        <v>0</v>
      </c>
      <c r="K6" s="783"/>
    </row>
    <row r="7" spans="2:11">
      <c r="B7" s="779" t="s">
        <v>1536</v>
      </c>
      <c r="C7" s="779"/>
      <c r="D7" s="779"/>
      <c r="E7" s="778" t="s">
        <v>1705</v>
      </c>
      <c r="F7" s="778"/>
      <c r="G7" s="778"/>
      <c r="H7" s="778"/>
      <c r="I7" s="778"/>
      <c r="J7" s="187"/>
      <c r="K7" s="187"/>
    </row>
    <row r="8" spans="2:11">
      <c r="B8" s="779" t="s">
        <v>1534</v>
      </c>
      <c r="C8" s="779"/>
      <c r="D8" s="779"/>
      <c r="E8" s="780" t="str">
        <f>CAM!E43</f>
        <v>Category A</v>
      </c>
      <c r="F8" s="779"/>
      <c r="G8" s="779"/>
      <c r="H8" s="779"/>
      <c r="I8" s="779"/>
      <c r="J8" s="187"/>
      <c r="K8" s="187"/>
    </row>
    <row r="9" spans="2:11">
      <c r="B9" s="779" t="s">
        <v>1518</v>
      </c>
      <c r="C9" s="779"/>
      <c r="D9" s="779"/>
      <c r="E9" s="779" t="str">
        <f>CAM!T44</f>
        <v>Low</v>
      </c>
      <c r="F9" s="779"/>
      <c r="G9" s="779"/>
      <c r="H9" s="779"/>
      <c r="I9" s="779"/>
      <c r="J9" s="187"/>
      <c r="K9" s="187"/>
    </row>
    <row r="10" spans="2:11">
      <c r="B10" s="779" t="s">
        <v>1531</v>
      </c>
      <c r="C10" s="779"/>
      <c r="D10" s="779"/>
      <c r="E10" s="778"/>
      <c r="F10" s="778"/>
      <c r="G10" s="187" t="s">
        <v>1519</v>
      </c>
      <c r="H10" s="187"/>
      <c r="I10" s="187"/>
      <c r="J10" s="187"/>
      <c r="K10" s="187"/>
    </row>
    <row r="11" spans="2:11">
      <c r="B11" s="188" t="s">
        <v>1520</v>
      </c>
      <c r="C11" s="188"/>
      <c r="D11" s="187"/>
      <c r="E11" s="187"/>
      <c r="F11" s="187"/>
      <c r="G11" s="187"/>
      <c r="H11" s="187"/>
      <c r="I11" s="187"/>
      <c r="J11" s="187"/>
      <c r="K11" s="187"/>
    </row>
    <row r="12" spans="2:11">
      <c r="B12" s="187"/>
      <c r="C12" s="187"/>
      <c r="D12" s="187"/>
      <c r="E12" s="187"/>
      <c r="F12" s="187"/>
      <c r="G12" s="187"/>
      <c r="H12" s="187"/>
      <c r="I12" s="187"/>
      <c r="J12" s="187"/>
      <c r="K12" s="187"/>
    </row>
    <row r="13" spans="2:11">
      <c r="B13" s="784" t="s">
        <v>1532</v>
      </c>
      <c r="C13" s="784"/>
      <c r="D13" s="784"/>
      <c r="E13" s="784"/>
      <c r="F13" s="784"/>
      <c r="G13" s="784"/>
      <c r="H13" s="784"/>
      <c r="I13" s="784"/>
      <c r="J13" s="784"/>
      <c r="K13" s="784"/>
    </row>
    <row r="14" spans="2:11">
      <c r="B14" s="784"/>
      <c r="C14" s="784"/>
      <c r="D14" s="784"/>
      <c r="E14" s="784"/>
      <c r="F14" s="784"/>
      <c r="G14" s="784"/>
      <c r="H14" s="784"/>
      <c r="I14" s="784"/>
      <c r="J14" s="784"/>
      <c r="K14" s="784"/>
    </row>
    <row r="15" spans="2:11">
      <c r="B15" s="187"/>
      <c r="C15" s="187"/>
      <c r="D15" s="187"/>
      <c r="E15" s="187"/>
      <c r="F15" s="187"/>
      <c r="G15" s="187"/>
      <c r="H15" s="187"/>
      <c r="I15" s="187"/>
      <c r="J15" s="187"/>
      <c r="K15" s="187"/>
    </row>
    <row r="16" spans="2:11" s="176" customFormat="1">
      <c r="B16" s="763" t="s">
        <v>1574</v>
      </c>
      <c r="C16" s="763"/>
      <c r="D16" s="763"/>
      <c r="E16" s="763"/>
      <c r="F16" s="763"/>
      <c r="G16" s="763"/>
      <c r="H16" s="763"/>
      <c r="I16" s="763"/>
      <c r="J16" s="763"/>
      <c r="K16" s="763"/>
    </row>
    <row r="17" spans="2:11" s="176" customFormat="1">
      <c r="B17" s="776" t="s">
        <v>1558</v>
      </c>
      <c r="C17" s="776"/>
      <c r="D17" s="776"/>
      <c r="E17" s="776"/>
      <c r="F17" s="189" t="s">
        <v>390</v>
      </c>
      <c r="G17" s="777" t="s">
        <v>1559</v>
      </c>
      <c r="H17" s="777"/>
      <c r="I17" s="777" t="s">
        <v>1523</v>
      </c>
      <c r="J17" s="777"/>
      <c r="K17" s="777"/>
    </row>
    <row r="18" spans="2:11" s="176" customFormat="1">
      <c r="B18" s="776">
        <f>CAM!D18</f>
        <v>0</v>
      </c>
      <c r="C18" s="776"/>
      <c r="D18" s="776"/>
      <c r="E18" s="776"/>
      <c r="F18" s="190">
        <f>CAM!K18</f>
        <v>0</v>
      </c>
      <c r="G18" s="777">
        <f>CAM!H30</f>
        <v>0</v>
      </c>
      <c r="H18" s="777"/>
      <c r="I18" s="777">
        <f>CAM!I30</f>
        <v>0</v>
      </c>
      <c r="J18" s="777"/>
      <c r="K18" s="777"/>
    </row>
    <row r="19" spans="2:11" s="176" customFormat="1">
      <c r="B19" s="776" t="str">
        <f>CAM!D19</f>
        <v>Atrium Newgen Diagnostics</v>
      </c>
      <c r="C19" s="776"/>
      <c r="D19" s="776"/>
      <c r="E19" s="776"/>
      <c r="F19" s="191">
        <f>CAM!K19</f>
        <v>0</v>
      </c>
      <c r="G19" s="777" t="str">
        <f>CAM!H31</f>
        <v>AGVPR7975C</v>
      </c>
      <c r="H19" s="777"/>
      <c r="I19" s="777" t="str">
        <f>CAM!I31</f>
        <v>3818 3598 8983</v>
      </c>
      <c r="J19" s="777"/>
      <c r="K19" s="777"/>
    </row>
    <row r="20" spans="2:11" s="176" customFormat="1">
      <c r="B20" s="776" t="str">
        <f>CAM!D20</f>
        <v>Sandeep Shekhawat</v>
      </c>
      <c r="C20" s="776"/>
      <c r="D20" s="776"/>
      <c r="E20" s="776"/>
      <c r="F20" s="191">
        <f>CAM!K20</f>
        <v>0</v>
      </c>
      <c r="G20" s="777" t="str">
        <f>CAM!H32</f>
        <v>BCQPS8901P</v>
      </c>
      <c r="H20" s="777"/>
      <c r="I20" s="777" t="str">
        <f>CAM!I32</f>
        <v>8331 6813 3624</v>
      </c>
      <c r="J20" s="777"/>
      <c r="K20" s="777"/>
    </row>
    <row r="21" spans="2:11" s="176" customFormat="1">
      <c r="B21" s="776" t="str">
        <f>CAM!D21</f>
        <v>Neeraj Bhandari</v>
      </c>
      <c r="C21" s="776"/>
      <c r="D21" s="776"/>
      <c r="E21" s="776"/>
      <c r="F21" s="191">
        <f>CAM!K21</f>
        <v>0</v>
      </c>
      <c r="G21" s="777" t="str">
        <f>CAM!H33</f>
        <v>AJDPB4968N</v>
      </c>
      <c r="H21" s="777"/>
      <c r="I21" s="777" t="str">
        <f>CAM!I33</f>
        <v>4551 2914 3963</v>
      </c>
      <c r="J21" s="777"/>
      <c r="K21" s="777"/>
    </row>
    <row r="22" spans="2:11" s="176" customFormat="1">
      <c r="B22" s="776" t="str">
        <f>CAM!D22</f>
        <v>Dr. Nidhi Goyal</v>
      </c>
      <c r="C22" s="776"/>
      <c r="D22" s="776"/>
      <c r="E22" s="776"/>
      <c r="F22" s="191">
        <f>CAM!K22</f>
        <v>0</v>
      </c>
      <c r="G22" s="777" t="str">
        <f>CAM!H34</f>
        <v>AKTPG0502G</v>
      </c>
      <c r="H22" s="777"/>
      <c r="I22" s="777" t="str">
        <f>CAM!I34</f>
        <v>8494 4218 6075</v>
      </c>
      <c r="J22" s="777"/>
      <c r="K22" s="777"/>
    </row>
    <row r="23" spans="2:11" s="176" customFormat="1">
      <c r="B23" s="776" t="str">
        <f>CAM!D23</f>
        <v>Dr. Saurabh Singh Gehlot</v>
      </c>
      <c r="C23" s="776"/>
      <c r="D23" s="776"/>
      <c r="E23" s="776"/>
      <c r="F23" s="191">
        <f>CAM!K23</f>
        <v>0</v>
      </c>
      <c r="G23" s="777" t="str">
        <f>CAM!H35</f>
        <v>ALGPG6910L</v>
      </c>
      <c r="H23" s="777"/>
      <c r="I23" s="777" t="str">
        <f>CAM!I35</f>
        <v>2121 0550 9942</v>
      </c>
      <c r="J23" s="777"/>
      <c r="K23" s="777"/>
    </row>
    <row r="24" spans="2:11" s="176" customFormat="1">
      <c r="B24" s="776" t="str">
        <f>CAM!D24</f>
        <v>Atul Kumar Agarwal</v>
      </c>
      <c r="C24" s="776"/>
      <c r="D24" s="776"/>
      <c r="E24" s="776"/>
      <c r="F24" s="191">
        <f>CAM!K24</f>
        <v>0</v>
      </c>
      <c r="G24" s="777" t="str">
        <f>CAM!H36</f>
        <v>AIIPA0426C</v>
      </c>
      <c r="H24" s="777"/>
      <c r="I24" s="777" t="str">
        <f>CAM!I36</f>
        <v>6454 8804 8585</v>
      </c>
      <c r="J24" s="777"/>
      <c r="K24" s="777"/>
    </row>
    <row r="25" spans="2:11" s="176" customFormat="1">
      <c r="B25" s="776">
        <f>CAM!D25</f>
        <v>0</v>
      </c>
      <c r="C25" s="776"/>
      <c r="D25" s="776"/>
      <c r="E25" s="776"/>
      <c r="F25" s="191">
        <f>CAM!K25</f>
        <v>0</v>
      </c>
      <c r="G25" s="777">
        <f>CAM!H37</f>
        <v>0</v>
      </c>
      <c r="H25" s="777"/>
      <c r="I25" s="777">
        <f>CAM!I37</f>
        <v>0</v>
      </c>
      <c r="J25" s="777"/>
      <c r="K25" s="777"/>
    </row>
    <row r="26" spans="2:11" s="176" customFormat="1">
      <c r="B26" s="776">
        <f>CAM!D26</f>
        <v>0</v>
      </c>
      <c r="C26" s="776"/>
      <c r="D26" s="776"/>
      <c r="E26" s="776"/>
      <c r="F26" s="191">
        <f>CAM!K26</f>
        <v>0</v>
      </c>
      <c r="G26" s="777">
        <f>CAM!H38</f>
        <v>0</v>
      </c>
      <c r="H26" s="777"/>
      <c r="I26" s="777">
        <f>CAM!I38</f>
        <v>0</v>
      </c>
      <c r="J26" s="777"/>
      <c r="K26" s="777"/>
    </row>
    <row r="27" spans="2:11" s="176" customFormat="1">
      <c r="B27" s="776">
        <f>CAM!D27</f>
        <v>0</v>
      </c>
      <c r="C27" s="776"/>
      <c r="D27" s="776"/>
      <c r="E27" s="776"/>
      <c r="F27" s="191">
        <f>CAM!K27</f>
        <v>0</v>
      </c>
      <c r="G27" s="777">
        <f>CAM!H39</f>
        <v>0</v>
      </c>
      <c r="H27" s="777"/>
      <c r="I27" s="777">
        <f>CAM!I39</f>
        <v>0</v>
      </c>
      <c r="J27" s="777"/>
      <c r="K27" s="777"/>
    </row>
    <row r="28" spans="2:11">
      <c r="B28" s="187"/>
      <c r="C28" s="187"/>
      <c r="D28" s="187"/>
      <c r="E28" s="187"/>
      <c r="F28" s="187"/>
      <c r="G28" s="187"/>
      <c r="H28" s="187"/>
      <c r="I28" s="187"/>
      <c r="J28" s="187"/>
      <c r="K28" s="187"/>
    </row>
    <row r="29" spans="2:11" s="176" customFormat="1">
      <c r="B29" s="763" t="s">
        <v>1580</v>
      </c>
      <c r="C29" s="763"/>
      <c r="D29" s="763"/>
      <c r="E29" s="763"/>
      <c r="F29" s="763"/>
      <c r="G29" s="763"/>
      <c r="H29" s="763"/>
      <c r="I29" s="763"/>
      <c r="J29" s="763"/>
      <c r="K29" s="763"/>
    </row>
    <row r="30" spans="2:11" s="176" customFormat="1">
      <c r="B30" s="763"/>
      <c r="C30" s="763"/>
      <c r="D30" s="763"/>
      <c r="E30" s="763"/>
      <c r="F30" s="763"/>
      <c r="G30" s="763"/>
      <c r="H30" s="763"/>
      <c r="I30" s="763"/>
      <c r="J30" s="763"/>
      <c r="K30" s="763"/>
    </row>
    <row r="31" spans="2:11" s="176" customFormat="1" ht="21.6" customHeight="1">
      <c r="B31" s="759" t="s">
        <v>1577</v>
      </c>
      <c r="C31" s="759"/>
      <c r="D31" s="759"/>
      <c r="E31" s="765" t="s">
        <v>1575</v>
      </c>
      <c r="F31" s="765" t="s">
        <v>1576</v>
      </c>
      <c r="G31" s="767" t="s">
        <v>1578</v>
      </c>
      <c r="H31" s="768"/>
      <c r="I31" s="768"/>
      <c r="J31" s="768"/>
      <c r="K31" s="769"/>
    </row>
    <row r="32" spans="2:11" s="176" customFormat="1" ht="21.6" customHeight="1">
      <c r="B32" s="759"/>
      <c r="C32" s="759"/>
      <c r="D32" s="759"/>
      <c r="E32" s="766"/>
      <c r="F32" s="766"/>
      <c r="G32" s="770"/>
      <c r="H32" s="771"/>
      <c r="I32" s="771"/>
      <c r="J32" s="771"/>
      <c r="K32" s="772"/>
    </row>
    <row r="33" spans="2:12" s="176" customFormat="1" ht="22.35" customHeight="1">
      <c r="B33" s="755">
        <f>CAM!D18</f>
        <v>0</v>
      </c>
      <c r="C33" s="755"/>
      <c r="D33" s="755"/>
      <c r="E33" s="177" t="s">
        <v>1579</v>
      </c>
      <c r="F33" s="177"/>
      <c r="G33" s="773"/>
      <c r="H33" s="774"/>
      <c r="I33" s="774"/>
      <c r="J33" s="774"/>
      <c r="K33" s="775"/>
    </row>
    <row r="34" spans="2:12" s="176" customFormat="1" ht="22.35" customHeight="1">
      <c r="B34" s="755" t="str">
        <f>CAM!D19</f>
        <v>Atrium Newgen Diagnostics</v>
      </c>
      <c r="C34" s="755"/>
      <c r="D34" s="755"/>
      <c r="E34" s="177" t="s">
        <v>1579</v>
      </c>
      <c r="F34" s="177"/>
      <c r="G34" s="773"/>
      <c r="H34" s="774"/>
      <c r="I34" s="774"/>
      <c r="J34" s="774"/>
      <c r="K34" s="775"/>
    </row>
    <row r="35" spans="2:12" s="176" customFormat="1" ht="22.35" customHeight="1">
      <c r="B35" s="756" t="str">
        <f>CAM!D20</f>
        <v>Sandeep Shekhawat</v>
      </c>
      <c r="C35" s="757"/>
      <c r="D35" s="758"/>
      <c r="E35" s="177" t="s">
        <v>1579</v>
      </c>
      <c r="F35" s="177"/>
      <c r="G35" s="773"/>
      <c r="H35" s="774"/>
      <c r="I35" s="774"/>
      <c r="J35" s="774"/>
      <c r="K35" s="775"/>
    </row>
    <row r="36" spans="2:12" s="176" customFormat="1" ht="22.35" customHeight="1">
      <c r="B36" s="756" t="str">
        <f>CAM!D21</f>
        <v>Neeraj Bhandari</v>
      </c>
      <c r="C36" s="757"/>
      <c r="D36" s="758"/>
      <c r="E36" s="177" t="s">
        <v>1579</v>
      </c>
      <c r="F36" s="177"/>
      <c r="G36" s="760"/>
      <c r="H36" s="761"/>
      <c r="I36" s="761"/>
      <c r="J36" s="761"/>
      <c r="K36" s="762"/>
    </row>
    <row r="37" spans="2:12" s="176" customFormat="1" ht="22.35" customHeight="1">
      <c r="B37" s="756" t="str">
        <f>CAM!D22</f>
        <v>Dr. Nidhi Goyal</v>
      </c>
      <c r="C37" s="757"/>
      <c r="D37" s="758"/>
      <c r="E37" s="177" t="s">
        <v>1579</v>
      </c>
      <c r="F37" s="177"/>
      <c r="G37" s="760"/>
      <c r="H37" s="761"/>
      <c r="I37" s="761"/>
      <c r="J37" s="761"/>
      <c r="K37" s="762"/>
    </row>
    <row r="38" spans="2:12" s="176" customFormat="1" ht="22.35" customHeight="1">
      <c r="B38" s="756" t="str">
        <f>CAM!D23</f>
        <v>Dr. Saurabh Singh Gehlot</v>
      </c>
      <c r="C38" s="757"/>
      <c r="D38" s="758"/>
      <c r="E38" s="177" t="s">
        <v>1579</v>
      </c>
      <c r="F38" s="177"/>
      <c r="G38" s="760"/>
      <c r="H38" s="761"/>
      <c r="I38" s="761"/>
      <c r="J38" s="761"/>
      <c r="K38" s="762"/>
    </row>
    <row r="39" spans="2:12" s="176" customFormat="1" ht="22.35" customHeight="1">
      <c r="B39" s="756" t="str">
        <f>CAM!D24</f>
        <v>Atul Kumar Agarwal</v>
      </c>
      <c r="C39" s="757"/>
      <c r="D39" s="758"/>
      <c r="E39" s="177" t="s">
        <v>1579</v>
      </c>
      <c r="F39" s="177"/>
      <c r="G39" s="760"/>
      <c r="H39" s="761"/>
      <c r="I39" s="761"/>
      <c r="J39" s="761"/>
      <c r="K39" s="762"/>
    </row>
    <row r="40" spans="2:12" s="176" customFormat="1" ht="22.35" customHeight="1">
      <c r="B40" s="756">
        <f>CAM!D25</f>
        <v>0</v>
      </c>
      <c r="C40" s="757"/>
      <c r="D40" s="758"/>
      <c r="E40" s="177" t="s">
        <v>1579</v>
      </c>
      <c r="F40" s="177"/>
      <c r="G40" s="760"/>
      <c r="H40" s="761"/>
      <c r="I40" s="761"/>
      <c r="J40" s="761"/>
      <c r="K40" s="762"/>
    </row>
    <row r="41" spans="2:12" s="176" customFormat="1" ht="22.35" customHeight="1">
      <c r="B41" s="756">
        <f>CAM!D26</f>
        <v>0</v>
      </c>
      <c r="C41" s="757"/>
      <c r="D41" s="758"/>
      <c r="E41" s="177" t="s">
        <v>1579</v>
      </c>
      <c r="F41" s="177"/>
      <c r="G41" s="760"/>
      <c r="H41" s="761"/>
      <c r="I41" s="761"/>
      <c r="J41" s="761"/>
      <c r="K41" s="762"/>
    </row>
    <row r="42" spans="2:12" s="176" customFormat="1" ht="22.35" customHeight="1">
      <c r="B42" s="756">
        <f>CAM!D27</f>
        <v>0</v>
      </c>
      <c r="C42" s="757"/>
      <c r="D42" s="758"/>
      <c r="E42" s="177" t="s">
        <v>1579</v>
      </c>
      <c r="F42" s="177"/>
      <c r="G42" s="760"/>
      <c r="H42" s="761"/>
      <c r="I42" s="761"/>
      <c r="J42" s="761"/>
      <c r="K42" s="762"/>
    </row>
    <row r="43" spans="2:12" s="176" customFormat="1">
      <c r="B43" s="178"/>
      <c r="C43" s="178"/>
      <c r="D43" s="178"/>
      <c r="E43" s="178"/>
      <c r="F43" s="178"/>
      <c r="G43" s="178"/>
      <c r="H43" s="178"/>
      <c r="I43" s="178"/>
    </row>
    <row r="47" spans="2:12" ht="30.2" customHeight="1">
      <c r="B47" s="763" t="s">
        <v>1581</v>
      </c>
      <c r="C47" s="763"/>
      <c r="D47" s="763"/>
      <c r="E47" s="763"/>
      <c r="F47" s="763"/>
      <c r="G47" s="763"/>
      <c r="H47" s="763"/>
      <c r="I47" s="763"/>
      <c r="J47" s="763"/>
      <c r="K47" s="763"/>
    </row>
    <row r="48" spans="2:12" ht="30.2" customHeight="1">
      <c r="B48" s="763"/>
      <c r="C48" s="763"/>
      <c r="D48" s="763"/>
      <c r="E48" s="763"/>
      <c r="F48" s="763"/>
      <c r="G48" s="763"/>
      <c r="H48" s="763"/>
      <c r="I48" s="763"/>
      <c r="J48" s="763"/>
      <c r="K48" s="763"/>
      <c r="L48" s="179"/>
    </row>
    <row r="49" spans="2:12" s="176" customFormat="1" ht="21.6" customHeight="1">
      <c r="B49" s="759" t="s">
        <v>1577</v>
      </c>
      <c r="C49" s="759"/>
      <c r="D49" s="759"/>
      <c r="E49" s="765" t="s">
        <v>1575</v>
      </c>
      <c r="F49" s="765" t="s">
        <v>1576</v>
      </c>
      <c r="G49" s="767" t="s">
        <v>1578</v>
      </c>
      <c r="H49" s="768"/>
      <c r="I49" s="768"/>
      <c r="J49" s="768"/>
      <c r="K49" s="769"/>
    </row>
    <row r="50" spans="2:12" s="176" customFormat="1" ht="21.6" customHeight="1">
      <c r="B50" s="759"/>
      <c r="C50" s="759"/>
      <c r="D50" s="759"/>
      <c r="E50" s="766"/>
      <c r="F50" s="766"/>
      <c r="G50" s="770"/>
      <c r="H50" s="771"/>
      <c r="I50" s="771"/>
      <c r="J50" s="771"/>
      <c r="K50" s="772"/>
    </row>
    <row r="51" spans="2:12" s="176" customFormat="1" ht="22.35" customHeight="1">
      <c r="B51" s="755">
        <f>CAM!D18</f>
        <v>0</v>
      </c>
      <c r="C51" s="755"/>
      <c r="D51" s="755"/>
      <c r="E51" s="177" t="s">
        <v>1579</v>
      </c>
      <c r="F51" s="177"/>
      <c r="G51" s="773"/>
      <c r="H51" s="774"/>
      <c r="I51" s="774"/>
      <c r="J51" s="774"/>
      <c r="K51" s="775"/>
    </row>
    <row r="52" spans="2:12" s="176" customFormat="1" ht="22.35" customHeight="1">
      <c r="B52" s="755" t="str">
        <f>CAM!D19</f>
        <v>Atrium Newgen Diagnostics</v>
      </c>
      <c r="C52" s="755"/>
      <c r="D52" s="755"/>
      <c r="E52" s="177" t="s">
        <v>1579</v>
      </c>
      <c r="F52" s="177"/>
      <c r="G52" s="773"/>
      <c r="H52" s="774"/>
      <c r="I52" s="774"/>
      <c r="J52" s="774"/>
      <c r="K52" s="775"/>
    </row>
    <row r="53" spans="2:12" s="176" customFormat="1" ht="22.35" customHeight="1">
      <c r="B53" s="755" t="str">
        <f>CAM!D20</f>
        <v>Sandeep Shekhawat</v>
      </c>
      <c r="C53" s="755"/>
      <c r="D53" s="755"/>
      <c r="E53" s="177" t="s">
        <v>1579</v>
      </c>
      <c r="F53" s="177"/>
      <c r="G53" s="773"/>
      <c r="H53" s="774"/>
      <c r="I53" s="774"/>
      <c r="J53" s="774"/>
      <c r="K53" s="775"/>
    </row>
    <row r="54" spans="2:12" s="176" customFormat="1" ht="22.35" customHeight="1">
      <c r="B54" s="755" t="str">
        <f>CAM!D21</f>
        <v>Neeraj Bhandari</v>
      </c>
      <c r="C54" s="755"/>
      <c r="D54" s="755"/>
      <c r="E54" s="177" t="s">
        <v>1579</v>
      </c>
      <c r="F54" s="177"/>
      <c r="G54" s="760"/>
      <c r="H54" s="761"/>
      <c r="I54" s="761"/>
      <c r="J54" s="761"/>
      <c r="K54" s="762"/>
    </row>
    <row r="55" spans="2:12" s="176" customFormat="1" ht="22.35" customHeight="1">
      <c r="B55" s="755" t="str">
        <f>CAM!D22</f>
        <v>Dr. Nidhi Goyal</v>
      </c>
      <c r="C55" s="755"/>
      <c r="D55" s="755"/>
      <c r="E55" s="177" t="s">
        <v>1579</v>
      </c>
      <c r="F55" s="177"/>
      <c r="G55" s="760"/>
      <c r="H55" s="761"/>
      <c r="I55" s="761"/>
      <c r="J55" s="761"/>
      <c r="K55" s="762"/>
    </row>
    <row r="56" spans="2:12" s="176" customFormat="1" ht="22.35" customHeight="1">
      <c r="B56" s="755" t="str">
        <f>CAM!D23</f>
        <v>Dr. Saurabh Singh Gehlot</v>
      </c>
      <c r="C56" s="755"/>
      <c r="D56" s="755"/>
      <c r="E56" s="177" t="s">
        <v>1579</v>
      </c>
      <c r="F56" s="177"/>
      <c r="G56" s="760"/>
      <c r="H56" s="761"/>
      <c r="I56" s="761"/>
      <c r="J56" s="761"/>
      <c r="K56" s="762"/>
    </row>
    <row r="57" spans="2:12" s="176" customFormat="1" ht="22.35" customHeight="1">
      <c r="B57" s="755" t="str">
        <f>CAM!D24</f>
        <v>Atul Kumar Agarwal</v>
      </c>
      <c r="C57" s="755"/>
      <c r="D57" s="755"/>
      <c r="E57" s="177" t="s">
        <v>1579</v>
      </c>
      <c r="F57" s="177"/>
      <c r="G57" s="760"/>
      <c r="H57" s="761"/>
      <c r="I57" s="761"/>
      <c r="J57" s="761"/>
      <c r="K57" s="762"/>
    </row>
    <row r="58" spans="2:12" s="176" customFormat="1" ht="22.35" customHeight="1">
      <c r="B58" s="755">
        <f>CAM!D25</f>
        <v>0</v>
      </c>
      <c r="C58" s="755"/>
      <c r="D58" s="755"/>
      <c r="E58" s="177" t="s">
        <v>1579</v>
      </c>
      <c r="F58" s="177"/>
      <c r="G58" s="760"/>
      <c r="H58" s="761"/>
      <c r="I58" s="761"/>
      <c r="J58" s="761"/>
      <c r="K58" s="762"/>
    </row>
    <row r="59" spans="2:12" s="176" customFormat="1" ht="22.35" customHeight="1">
      <c r="B59" s="755">
        <f>CAM!D26</f>
        <v>0</v>
      </c>
      <c r="C59" s="755"/>
      <c r="D59" s="755"/>
      <c r="E59" s="177" t="s">
        <v>1579</v>
      </c>
      <c r="F59" s="177"/>
      <c r="G59" s="760"/>
      <c r="H59" s="761"/>
      <c r="I59" s="761"/>
      <c r="J59" s="761"/>
      <c r="K59" s="762"/>
    </row>
    <row r="60" spans="2:12" s="176" customFormat="1" ht="22.35" customHeight="1">
      <c r="B60" s="755">
        <f>CAM!D27</f>
        <v>0</v>
      </c>
      <c r="C60" s="755"/>
      <c r="D60" s="755"/>
      <c r="E60" s="177" t="s">
        <v>1579</v>
      </c>
      <c r="F60" s="177"/>
      <c r="G60" s="760"/>
      <c r="H60" s="761"/>
      <c r="I60" s="761"/>
      <c r="J60" s="761"/>
      <c r="K60" s="762"/>
    </row>
    <row r="61" spans="2:12">
      <c r="B61" s="192"/>
      <c r="C61" s="192"/>
      <c r="D61" s="192"/>
      <c r="E61" s="192"/>
      <c r="F61" s="192"/>
      <c r="G61" s="192"/>
      <c r="H61" s="192"/>
      <c r="I61" s="192"/>
      <c r="J61" s="192"/>
      <c r="K61" s="192"/>
      <c r="L61" s="179"/>
    </row>
    <row r="62" spans="2:12" ht="15" customHeight="1">
      <c r="B62" s="763" t="s">
        <v>1582</v>
      </c>
      <c r="C62" s="763"/>
      <c r="D62" s="763"/>
      <c r="E62" s="763"/>
      <c r="F62" s="763"/>
      <c r="G62" s="763"/>
      <c r="H62" s="763"/>
      <c r="I62" s="763"/>
      <c r="J62" s="763"/>
      <c r="K62" s="763"/>
      <c r="L62" s="179"/>
    </row>
    <row r="63" spans="2:12">
      <c r="B63" s="763"/>
      <c r="C63" s="763"/>
      <c r="D63" s="763"/>
      <c r="E63" s="763"/>
      <c r="F63" s="763"/>
      <c r="G63" s="763"/>
      <c r="H63" s="763"/>
      <c r="I63" s="763"/>
      <c r="J63" s="763"/>
      <c r="K63" s="763"/>
      <c r="L63" s="179"/>
    </row>
    <row r="64" spans="2:12">
      <c r="B64" s="763"/>
      <c r="C64" s="763"/>
      <c r="D64" s="763"/>
      <c r="E64" s="763"/>
      <c r="F64" s="763"/>
      <c r="G64" s="763"/>
      <c r="H64" s="763"/>
      <c r="I64" s="763"/>
      <c r="J64" s="763"/>
      <c r="K64" s="763"/>
      <c r="L64" s="179"/>
    </row>
    <row r="65" spans="2:12">
      <c r="B65" s="763"/>
      <c r="C65" s="763"/>
      <c r="D65" s="763"/>
      <c r="E65" s="763"/>
      <c r="F65" s="763"/>
      <c r="G65" s="763"/>
      <c r="H65" s="763"/>
      <c r="I65" s="763"/>
      <c r="J65" s="763"/>
      <c r="K65" s="763"/>
      <c r="L65" s="179"/>
    </row>
    <row r="66" spans="2:12">
      <c r="B66" s="786" t="str">
        <f>CAM!B41</f>
        <v>SIC Industry</v>
      </c>
      <c r="C66" s="786"/>
      <c r="D66" s="786"/>
      <c r="E66" s="786" t="str">
        <f>CAM!E41</f>
        <v>Health Services</v>
      </c>
      <c r="F66" s="786"/>
      <c r="G66" s="786"/>
      <c r="H66" s="786"/>
      <c r="I66" s="786"/>
      <c r="J66" s="786"/>
      <c r="K66" s="192"/>
      <c r="L66" s="179"/>
    </row>
    <row r="67" spans="2:12" ht="15" customHeight="1">
      <c r="B67" s="786" t="str">
        <f>CAM!R41</f>
        <v>Customer Type</v>
      </c>
      <c r="C67" s="786"/>
      <c r="D67" s="786"/>
      <c r="E67" s="786" t="str">
        <f>CAM!T41</f>
        <v>DI</v>
      </c>
      <c r="F67" s="786"/>
      <c r="G67" s="786"/>
      <c r="H67" s="786"/>
      <c r="I67" s="192"/>
      <c r="J67" s="192"/>
      <c r="K67" s="192"/>
      <c r="L67" s="179"/>
    </row>
    <row r="68" spans="2:12" ht="15" customHeight="1">
      <c r="B68" s="786" t="str">
        <f>CAM!R42</f>
        <v>LCG Proxy</v>
      </c>
      <c r="C68" s="786"/>
      <c r="D68" s="786"/>
      <c r="E68" s="786" t="str">
        <f>CAM!T42</f>
        <v>Other,Non Start-up</v>
      </c>
      <c r="F68" s="786"/>
      <c r="G68" s="786"/>
      <c r="H68" s="786"/>
      <c r="I68" s="192"/>
      <c r="J68" s="192"/>
      <c r="K68" s="192"/>
      <c r="L68" s="179"/>
    </row>
    <row r="69" spans="2:12" ht="15" customHeight="1">
      <c r="B69" s="192"/>
      <c r="C69" s="192"/>
      <c r="D69" s="192"/>
      <c r="E69" s="192"/>
      <c r="F69" s="192"/>
      <c r="G69" s="192"/>
      <c r="H69" s="192"/>
      <c r="I69" s="192"/>
      <c r="J69" s="192"/>
      <c r="K69" s="192"/>
      <c r="L69" s="179"/>
    </row>
    <row r="70" spans="2:12" ht="15" customHeight="1">
      <c r="B70" s="764" t="s">
        <v>1583</v>
      </c>
      <c r="C70" s="764"/>
      <c r="D70" s="764"/>
      <c r="E70" s="764"/>
      <c r="F70" s="764"/>
      <c r="G70" s="764"/>
      <c r="H70" s="764"/>
      <c r="I70" s="764"/>
      <c r="J70" s="764"/>
      <c r="K70" s="764"/>
      <c r="L70" s="179"/>
    </row>
    <row r="71" spans="2:12" ht="15" customHeight="1">
      <c r="B71" s="764"/>
      <c r="C71" s="764"/>
      <c r="D71" s="764"/>
      <c r="E71" s="764"/>
      <c r="F71" s="764"/>
      <c r="G71" s="764"/>
      <c r="H71" s="764"/>
      <c r="I71" s="764"/>
      <c r="J71" s="764"/>
      <c r="K71" s="764"/>
      <c r="L71" s="179"/>
    </row>
    <row r="72" spans="2:12" ht="15" customHeight="1">
      <c r="B72" s="786" t="str">
        <f>CONCATENATE("Businesss Operations are conducted at ",CAM!M30,CAM!Q30,CAM!R30,CAM!S30 )</f>
        <v xml:space="preserve">Businesss Operations are conducted at </v>
      </c>
      <c r="C72" s="786"/>
      <c r="D72" s="786"/>
      <c r="E72" s="786"/>
      <c r="F72" s="786"/>
      <c r="G72" s="786"/>
      <c r="H72" s="786"/>
      <c r="I72" s="786"/>
      <c r="J72" s="786"/>
      <c r="K72" s="192"/>
      <c r="L72" s="179"/>
    </row>
    <row r="73" spans="2:12" ht="15" customHeight="1">
      <c r="B73" s="786"/>
      <c r="C73" s="786"/>
      <c r="D73" s="786"/>
      <c r="E73" s="786"/>
      <c r="F73" s="786"/>
      <c r="G73" s="786"/>
      <c r="H73" s="786"/>
      <c r="I73" s="786"/>
      <c r="J73" s="786"/>
      <c r="K73" s="192"/>
      <c r="L73" s="179"/>
    </row>
    <row r="74" spans="2:12" ht="15" customHeight="1">
      <c r="B74" s="193"/>
      <c r="C74" s="193"/>
      <c r="D74" s="193"/>
      <c r="E74" s="193"/>
      <c r="F74" s="193"/>
      <c r="G74" s="193"/>
      <c r="H74" s="193"/>
      <c r="I74" s="193"/>
      <c r="J74" s="193"/>
      <c r="K74" s="192"/>
      <c r="L74" s="179"/>
    </row>
    <row r="75" spans="2:12" ht="15" customHeight="1">
      <c r="B75" s="764" t="s">
        <v>1584</v>
      </c>
      <c r="C75" s="764"/>
      <c r="D75" s="764"/>
      <c r="E75" s="764"/>
      <c r="F75" s="764"/>
      <c r="G75" s="764"/>
      <c r="H75" s="764"/>
      <c r="I75" s="764"/>
      <c r="J75" s="764"/>
      <c r="K75" s="764"/>
      <c r="L75" s="179"/>
    </row>
    <row r="76" spans="2:12" ht="15" customHeight="1">
      <c r="B76" s="764" t="str">
        <f>CAM!B92</f>
        <v>Business Model &amp; Nature of Business</v>
      </c>
      <c r="C76" s="764"/>
      <c r="D76" s="764"/>
      <c r="E76" s="764"/>
      <c r="F76" s="764"/>
      <c r="G76" s="764"/>
      <c r="H76" s="764"/>
      <c r="I76" s="764"/>
      <c r="J76" s="764"/>
      <c r="K76" s="764"/>
      <c r="L76" s="179"/>
    </row>
    <row r="77" spans="2:12" ht="15" customHeight="1">
      <c r="B77" s="785" t="str">
        <f>CAM!H92</f>
        <v xml:space="preserve">Atrium Newgen Diagnostic was incorporated  in 2021 by Dr. Saurabh Singh Gehlot, Dr. Nidhi Goyal, Dr. Piyush Pandit, Mr. Sandeep Shekhawat, Mr. Atul Aggarwal, Mr. Neeraj Bhandari and will be started its commercial operations in April 2022. The entity operate as a diagnostic centre focusing on All type of CT and MRI diagnose. 
Facilities Brief :
Colorectal Cancer
Colorectal Cancer Colorectal cancer (CRC) is the third most common cancer worldwide and is characterized by substantial spatial phenotypic and genotypic variations . The development of colon cancer involves multiple steps with a continuous cumulative effect of genetic mutation in tumour suppressors and oncogenes. CT and MRI, as well as 18F-FDG-PET imaging, are widely used for the diagnosis, monitoring of therapeutic response, and prognosis of CRC . Recently, there has been an increasing number of investigations on whether or not conventional imaging techniques can predict critical gene mutations in CRC without the need for an invasive procedure.
Gastric Cancer
Gastric Cancer Gastric cancer is one of the most common and aggressive solid tumors worldwide and has its highest incidence and mortality rate in Eastern Asia . Approximately 20%–40% of patients who receive standard treatment develop recurrent disease. Based on the gene expression profile of gastric cancer, there are four molecular subtypes: EpsteinBarr virus-positive, microsatellite unstable, chromosomal instability (CIN), and genomically stable . Previous studies have shown that the CIN subtype of gastric cancer has a distinct prognosis. For example, Sohn et al. found that patients with the CIN subtype obtained the greatest benefit from adjuvant chemotherapy . CT is regarded as the routine preoperative evaluation modality. Furthermore, Lai et al. investigated the relationship between CT imaging features and CIN status and found that an acute tumor transition angle was the most accurate imaging feature of the CIN subtype of gastric cancer, which provides additional prognosis-related information.
Lung Cancer
Lung Cancer Lung cancer is another common cancer with a high mortality rate and accounts for 13% of all newly diagnosed cancers . Histologically, lung cancer can be divided into non-small cell lung cancer (NSCLC) and small cell lung cancer (SCLC). Nearly 85% of patients with lung cancer have NSCLC . NSCLC is a group of distinct diseases with genetic and cellular heterogeneity due to different mutations in oncogenic signaling pathways. Conventional imaging methods include radiography and CT, which can provide valuable information for diagnosis, clinical staging, and treatment decisions. Invasive biopsy plays a central role in the pathological diagnosis; however, only a small portion of tissue is generally obtained and cannot completely reflect the properties of the whole tumor. Therefore, radiogenomics mapping is being increasingly used to solve the growing demand for prognostic image-based biomarkers.
Ovarian Cancer
Ovarian Cancer Ovarian cancer is the deadliest malignancy of the female genital tract and has five major histopathological subtypes. Ninety percent of ovarian cancers are high-grade serous ovarian cancer (HGSOC), which has the least favorable prognosis. Previous studies have demonstrated the genomic complexity and heterogeneity of ovarian cancer. Genetic heterogeneity, including copy number variant, transcriptome analysis, and methylation array, has been discovered in HGSOC, which may explain its drug resistance and open up new avenues for targeted molecular-based treatment. CT is an indispensable imaging examination for patients with HGSOC and can allow staging evaluation for preoperative planning and determination of surgical resectability. Several studies have shown that the CT features can predict critical molecular alteration events in HGSOC, which may have substantial prognostic and therapeutic implications at the time of diagnosis .
Prostate Cancer
Prostate Cancer Prostate cancer is the most prevalent malignancy in men in the United States. An epidemiological investigation in 2015 showed that 1.6 million men were diagnosed with prostate cancer and that there had been a 66% increase in its incidence over the previous decade. Currently, the National Comprehensive Cancer Network risk stratification system, which is mainly based on pathological grading from a biopsy sample, prostate serum antigen levels, and T staging, is widely used . Even though its prognostic precision has been reproduced in various settings, numerous studies have shown that the impact of adverse pathology is unavoidably underestimated in about 38%–46% of patients, partly because of the spatial heterogeneity in tumor growth patterns. Imaging examination can overcome the sampling bias resulting from prostate biopsy; therefore, the properties of the entire tumor can be assessed using a noninvasive platform. Multiparametric MRI is the most accurate imaging modality for detection and localization of prostate cancer lesions and provides both functional tissue information and anatomical information. Stoyanova et al. first identified a significant association between quantitative multiparametric MRI features and gene expression in multiparametric MRI-guided biopsy samples. The identified gene clusters related to radiomic features were used for gene ontology analysis and were correlated with distinct biological processes, including immune response, metabolism, cell, and biological adhesion.
Head and Neck Squamous Cell Cancer
Head and Neck Squamous Cell Cancer Head and neck squamous cell carcinoma (HNSCC) is the sixth most common cancer worldwide (. The Cancer Genome Atlas (TCGA) has revealed that human papillomavirus-associated tumors are accompanied by PIK3CA mutations, loss of TRAF3, and amplification of E2F1, whereas smoking-related HNSCCs exhibit a higher frequency of TP53 mutations and CDKN2A copy number alterations. Furthermore, mutations of the chromatin modifier NSD1 and the Wnt pathway genes AJUBA and FAT1 were also detected in a subgroup of HNSCCs . Zwirner et al. followed a hypothesis-driven approach for finding associations between radiomic heterogeneity and genetic aberrations and found that FAT1 somatic mutations were associated with reduced radiomic measures of tumor heterogeneity, possibly clarifying the reason for the previously described better prognosis of patients with human papillomavirus-negative, FAT1-mutated HNSCC.
</v>
      </c>
      <c r="C77" s="785"/>
      <c r="D77" s="785"/>
      <c r="E77" s="785"/>
      <c r="F77" s="785"/>
      <c r="G77" s="785"/>
      <c r="H77" s="785"/>
      <c r="I77" s="785"/>
      <c r="J77" s="785"/>
      <c r="K77" s="785"/>
      <c r="L77" s="179"/>
    </row>
    <row r="78" spans="2:12" ht="15" customHeight="1">
      <c r="B78" s="785"/>
      <c r="C78" s="785"/>
      <c r="D78" s="785"/>
      <c r="E78" s="785"/>
      <c r="F78" s="785"/>
      <c r="G78" s="785"/>
      <c r="H78" s="785"/>
      <c r="I78" s="785"/>
      <c r="J78" s="785"/>
      <c r="K78" s="785"/>
      <c r="L78" s="179"/>
    </row>
    <row r="79" spans="2:12" ht="15" customHeight="1">
      <c r="B79" s="785"/>
      <c r="C79" s="785"/>
      <c r="D79" s="785"/>
      <c r="E79" s="785"/>
      <c r="F79" s="785"/>
      <c r="G79" s="785"/>
      <c r="H79" s="785"/>
      <c r="I79" s="785"/>
      <c r="J79" s="785"/>
      <c r="K79" s="785"/>
      <c r="L79" s="179"/>
    </row>
    <row r="80" spans="2:12" ht="15" customHeight="1">
      <c r="B80" s="785"/>
      <c r="C80" s="785"/>
      <c r="D80" s="785"/>
      <c r="E80" s="785"/>
      <c r="F80" s="785"/>
      <c r="G80" s="785"/>
      <c r="H80" s="785"/>
      <c r="I80" s="785"/>
      <c r="J80" s="785"/>
      <c r="K80" s="785"/>
      <c r="L80" s="179"/>
    </row>
    <row r="81" spans="1:12" ht="15" customHeight="1">
      <c r="B81" s="785"/>
      <c r="C81" s="785"/>
      <c r="D81" s="785"/>
      <c r="E81" s="785"/>
      <c r="F81" s="785"/>
      <c r="G81" s="785"/>
      <c r="H81" s="785"/>
      <c r="I81" s="785"/>
      <c r="J81" s="785"/>
      <c r="K81" s="785"/>
      <c r="L81" s="179"/>
    </row>
    <row r="82" spans="1:12" ht="15" customHeight="1">
      <c r="B82" s="785"/>
      <c r="C82" s="785"/>
      <c r="D82" s="785"/>
      <c r="E82" s="785"/>
      <c r="F82" s="785"/>
      <c r="G82" s="785"/>
      <c r="H82" s="785"/>
      <c r="I82" s="785"/>
      <c r="J82" s="785"/>
      <c r="K82" s="785"/>
      <c r="L82" s="179"/>
    </row>
    <row r="83" spans="1:12" ht="15" customHeight="1">
      <c r="B83" s="785"/>
      <c r="C83" s="785"/>
      <c r="D83" s="785"/>
      <c r="E83" s="785"/>
      <c r="F83" s="785"/>
      <c r="G83" s="785"/>
      <c r="H83" s="785"/>
      <c r="I83" s="785"/>
      <c r="J83" s="785"/>
      <c r="K83" s="785"/>
      <c r="L83" s="179"/>
    </row>
    <row r="84" spans="1:12" ht="15" customHeight="1">
      <c r="B84" s="785"/>
      <c r="C84" s="785"/>
      <c r="D84" s="785"/>
      <c r="E84" s="785"/>
      <c r="F84" s="785"/>
      <c r="G84" s="785"/>
      <c r="H84" s="785"/>
      <c r="I84" s="785"/>
      <c r="J84" s="785"/>
      <c r="K84" s="785"/>
      <c r="L84" s="179"/>
    </row>
    <row r="85" spans="1:12" ht="15" customHeight="1">
      <c r="B85" s="785"/>
      <c r="C85" s="785"/>
      <c r="D85" s="785"/>
      <c r="E85" s="785"/>
      <c r="F85" s="785"/>
      <c r="G85" s="785"/>
      <c r="H85" s="785"/>
      <c r="I85" s="785"/>
      <c r="J85" s="785"/>
      <c r="K85" s="785"/>
      <c r="L85" s="179"/>
    </row>
    <row r="86" spans="1:12" ht="15" customHeight="1">
      <c r="B86" s="785"/>
      <c r="C86" s="785"/>
      <c r="D86" s="785"/>
      <c r="E86" s="785"/>
      <c r="F86" s="785"/>
      <c r="G86" s="785"/>
      <c r="H86" s="785"/>
      <c r="I86" s="785"/>
      <c r="J86" s="785"/>
      <c r="K86" s="785"/>
      <c r="L86" s="179"/>
    </row>
    <row r="87" spans="1:12" ht="15" customHeight="1">
      <c r="B87" s="785"/>
      <c r="C87" s="785"/>
      <c r="D87" s="785"/>
      <c r="E87" s="785"/>
      <c r="F87" s="785"/>
      <c r="G87" s="785"/>
      <c r="H87" s="785"/>
      <c r="I87" s="785"/>
      <c r="J87" s="785"/>
      <c r="K87" s="785"/>
      <c r="L87" s="179"/>
    </row>
    <row r="88" spans="1:12" ht="15" customHeight="1">
      <c r="B88" s="194"/>
      <c r="C88" s="194"/>
      <c r="D88" s="194"/>
      <c r="E88" s="194"/>
      <c r="F88" s="194"/>
      <c r="G88" s="194"/>
      <c r="H88" s="194"/>
      <c r="I88" s="194"/>
      <c r="J88" s="194"/>
      <c r="K88" s="194"/>
      <c r="L88" s="179"/>
    </row>
    <row r="89" spans="1:12" ht="15" customHeight="1">
      <c r="B89" s="193"/>
      <c r="C89" s="193"/>
      <c r="D89" s="193"/>
      <c r="E89" s="193"/>
      <c r="F89" s="193"/>
      <c r="G89" s="193"/>
      <c r="H89" s="193"/>
      <c r="I89" s="193"/>
      <c r="J89" s="193"/>
      <c r="K89" s="192"/>
      <c r="L89" s="179"/>
    </row>
    <row r="90" spans="1:12" ht="15" customHeight="1">
      <c r="B90" s="786" t="str">
        <f>CAM!B175</f>
        <v>Transaction Rationale</v>
      </c>
      <c r="C90" s="786"/>
      <c r="D90" s="786"/>
      <c r="E90" s="786"/>
      <c r="F90" s="786"/>
      <c r="G90" s="786"/>
      <c r="H90" s="786"/>
      <c r="I90" s="786"/>
      <c r="J90" s="786"/>
      <c r="K90" s="786"/>
      <c r="L90" s="179"/>
    </row>
    <row r="91" spans="1:12" s="182" customFormat="1" ht="30.2" customHeight="1">
      <c r="A91" s="180"/>
      <c r="B91" s="787" t="str">
        <f>CAM!B176</f>
        <v>Good Experience of Doctor -15+ Years.</v>
      </c>
      <c r="C91" s="787"/>
      <c r="D91" s="787"/>
      <c r="E91" s="787"/>
      <c r="F91" s="787"/>
      <c r="G91" s="787"/>
      <c r="H91" s="787"/>
      <c r="I91" s="787"/>
      <c r="J91" s="787"/>
      <c r="K91" s="787"/>
      <c r="L91" s="181"/>
    </row>
    <row r="92" spans="1:12" s="182" customFormat="1" ht="30.2" customHeight="1">
      <c r="A92" s="180"/>
      <c r="B92" s="787" t="str">
        <f>CAM!B177</f>
        <v>It’s a start Up hospital. They have invested more than 1.8 Cr in the hospital. Infrastructure is good.</v>
      </c>
      <c r="C92" s="787"/>
      <c r="D92" s="787"/>
      <c r="E92" s="787"/>
      <c r="F92" s="787"/>
      <c r="G92" s="787"/>
      <c r="H92" s="787"/>
      <c r="I92" s="787"/>
      <c r="J92" s="787"/>
      <c r="K92" s="787"/>
      <c r="L92" s="181"/>
    </row>
    <row r="93" spans="1:12" s="182" customFormat="1" ht="30.2" customHeight="1">
      <c r="A93" s="180"/>
      <c r="B93" s="787" t="str">
        <f>CAM!B178</f>
        <v>Decent patient footfall</v>
      </c>
      <c r="C93" s="787"/>
      <c r="D93" s="787"/>
      <c r="E93" s="787"/>
      <c r="F93" s="787"/>
      <c r="G93" s="787"/>
      <c r="H93" s="787"/>
      <c r="I93" s="787"/>
      <c r="J93" s="787"/>
      <c r="K93" s="787"/>
      <c r="L93" s="181"/>
    </row>
    <row r="94" spans="1:12" s="182" customFormat="1" ht="30.2" customHeight="1">
      <c r="A94" s="180"/>
      <c r="B94" s="787">
        <f>CAM!B179</f>
        <v>0</v>
      </c>
      <c r="C94" s="787"/>
      <c r="D94" s="787"/>
      <c r="E94" s="787"/>
      <c r="F94" s="787"/>
      <c r="G94" s="787"/>
      <c r="H94" s="787"/>
      <c r="I94" s="787"/>
      <c r="J94" s="787"/>
      <c r="K94" s="787"/>
      <c r="L94" s="181"/>
    </row>
    <row r="95" spans="1:12" s="182" customFormat="1" ht="30.2" customHeight="1">
      <c r="A95" s="180"/>
      <c r="B95" s="787">
        <f>CAM!B180</f>
        <v>0</v>
      </c>
      <c r="C95" s="787"/>
      <c r="D95" s="787"/>
      <c r="E95" s="787"/>
      <c r="F95" s="787"/>
      <c r="G95" s="787"/>
      <c r="H95" s="787"/>
      <c r="I95" s="787"/>
      <c r="J95" s="787"/>
      <c r="K95" s="787"/>
      <c r="L95" s="181"/>
    </row>
    <row r="96" spans="1:12" s="182" customFormat="1" ht="30.2" customHeight="1">
      <c r="A96" s="180"/>
      <c r="B96" s="787">
        <f>CAM!B181</f>
        <v>0</v>
      </c>
      <c r="C96" s="787"/>
      <c r="D96" s="787"/>
      <c r="E96" s="787"/>
      <c r="F96" s="787"/>
      <c r="G96" s="787"/>
      <c r="H96" s="787"/>
      <c r="I96" s="787"/>
      <c r="J96" s="787"/>
      <c r="K96" s="787"/>
      <c r="L96" s="181"/>
    </row>
    <row r="97" spans="1:12" s="182" customFormat="1" ht="30.2" customHeight="1">
      <c r="A97" s="180"/>
      <c r="B97" s="787">
        <f>CAM!B182</f>
        <v>0</v>
      </c>
      <c r="C97" s="787"/>
      <c r="D97" s="787"/>
      <c r="E97" s="787"/>
      <c r="F97" s="787"/>
      <c r="G97" s="787"/>
      <c r="H97" s="787"/>
      <c r="I97" s="787"/>
      <c r="J97" s="787"/>
      <c r="K97" s="787"/>
      <c r="L97" s="181"/>
    </row>
    <row r="98" spans="1:12" s="182" customFormat="1" ht="30.2" customHeight="1">
      <c r="A98" s="180"/>
      <c r="B98" s="787">
        <f>CAM!B183</f>
        <v>0</v>
      </c>
      <c r="C98" s="787"/>
      <c r="D98" s="787"/>
      <c r="E98" s="787"/>
      <c r="F98" s="787"/>
      <c r="G98" s="787"/>
      <c r="H98" s="787"/>
      <c r="I98" s="787"/>
      <c r="J98" s="787"/>
      <c r="K98" s="787"/>
      <c r="L98" s="181"/>
    </row>
    <row r="99" spans="1:12" s="182" customFormat="1" ht="30.2" customHeight="1">
      <c r="A99" s="180"/>
      <c r="B99" s="787">
        <f>CAM!B184</f>
        <v>0</v>
      </c>
      <c r="C99" s="787"/>
      <c r="D99" s="787"/>
      <c r="E99" s="787"/>
      <c r="F99" s="787"/>
      <c r="G99" s="787"/>
      <c r="H99" s="787"/>
      <c r="I99" s="787"/>
      <c r="J99" s="787"/>
      <c r="K99" s="787"/>
      <c r="L99" s="181"/>
    </row>
    <row r="100" spans="1:12" s="182" customFormat="1" ht="30.2" customHeight="1">
      <c r="A100" s="180"/>
      <c r="B100" s="787">
        <f>CAM!B185</f>
        <v>0</v>
      </c>
      <c r="C100" s="787"/>
      <c r="D100" s="787"/>
      <c r="E100" s="787"/>
      <c r="F100" s="787"/>
      <c r="G100" s="787"/>
      <c r="H100" s="787"/>
      <c r="I100" s="787"/>
      <c r="J100" s="787"/>
      <c r="K100" s="787"/>
      <c r="L100" s="181"/>
    </row>
    <row r="101" spans="1:12">
      <c r="B101" s="192"/>
      <c r="C101" s="192"/>
      <c r="D101" s="192"/>
      <c r="E101" s="192"/>
      <c r="F101" s="192"/>
      <c r="G101" s="192"/>
      <c r="H101" s="192"/>
      <c r="I101" s="192"/>
      <c r="J101" s="192"/>
      <c r="K101" s="192"/>
      <c r="L101" s="179"/>
    </row>
    <row r="102" spans="1:12" ht="15" customHeight="1">
      <c r="B102" s="764" t="s">
        <v>1585</v>
      </c>
      <c r="C102" s="764"/>
      <c r="D102" s="764"/>
      <c r="E102" s="764"/>
      <c r="F102" s="764"/>
      <c r="G102" s="764"/>
      <c r="H102" s="764"/>
      <c r="I102" s="764"/>
      <c r="J102" s="764"/>
      <c r="K102" s="764"/>
      <c r="L102" s="179"/>
    </row>
    <row r="103" spans="1:12">
      <c r="B103" s="764"/>
      <c r="C103" s="764"/>
      <c r="D103" s="764"/>
      <c r="E103" s="764"/>
      <c r="F103" s="764"/>
      <c r="G103" s="764"/>
      <c r="H103" s="764"/>
      <c r="I103" s="764"/>
      <c r="J103" s="764"/>
      <c r="K103" s="764"/>
      <c r="L103" s="179"/>
    </row>
    <row r="104" spans="1:12">
      <c r="B104" s="786" t="s">
        <v>1586</v>
      </c>
      <c r="C104" s="786"/>
      <c r="D104" s="786"/>
      <c r="E104" s="786"/>
      <c r="F104" s="192"/>
      <c r="G104" s="788" t="s">
        <v>1754</v>
      </c>
      <c r="H104" s="788"/>
      <c r="I104" s="788"/>
      <c r="J104" s="788"/>
      <c r="K104" s="788"/>
      <c r="L104" s="179"/>
    </row>
    <row r="105" spans="1:12">
      <c r="B105" s="786" t="s">
        <v>1587</v>
      </c>
      <c r="C105" s="786"/>
      <c r="D105" s="786"/>
      <c r="E105" s="786"/>
      <c r="F105" s="192"/>
      <c r="G105" s="788"/>
      <c r="H105" s="788"/>
      <c r="I105" s="788"/>
      <c r="J105" s="788"/>
      <c r="K105" s="788"/>
      <c r="L105" s="179"/>
    </row>
    <row r="106" spans="1:12">
      <c r="B106" s="786" t="s">
        <v>1588</v>
      </c>
      <c r="C106" s="786"/>
      <c r="D106" s="786"/>
      <c r="E106" s="786"/>
      <c r="F106" s="786"/>
      <c r="G106" s="788" t="s">
        <v>1589</v>
      </c>
      <c r="H106" s="788"/>
      <c r="I106" s="788"/>
      <c r="J106" s="788"/>
      <c r="K106" s="788"/>
      <c r="L106" s="179"/>
    </row>
    <row r="107" spans="1:12" ht="15" customHeight="1">
      <c r="B107" s="786" t="s">
        <v>1590</v>
      </c>
      <c r="C107" s="786"/>
      <c r="D107" s="786"/>
      <c r="E107" s="786"/>
      <c r="F107" s="786"/>
      <c r="G107" s="787" t="e">
        <f>CONCATENATE("NACH / PDC taken from ",Banking!C16," bearing Account No:",Banking!F16," having ISFC Code: ",Banking!#REF!)</f>
        <v>#REF!</v>
      </c>
      <c r="H107" s="787"/>
      <c r="I107" s="787"/>
      <c r="J107" s="787"/>
      <c r="K107" s="787"/>
      <c r="L107" s="179"/>
    </row>
    <row r="108" spans="1:12">
      <c r="B108" s="192"/>
      <c r="C108" s="192"/>
      <c r="D108" s="192"/>
      <c r="E108" s="192"/>
      <c r="F108" s="192"/>
      <c r="G108" s="787"/>
      <c r="H108" s="787"/>
      <c r="I108" s="787"/>
      <c r="J108" s="787"/>
      <c r="K108" s="787"/>
      <c r="L108" s="179"/>
    </row>
    <row r="109" spans="1:12">
      <c r="B109" s="192"/>
      <c r="C109" s="192"/>
      <c r="D109" s="192"/>
      <c r="E109" s="192"/>
      <c r="F109" s="192"/>
      <c r="G109" s="787"/>
      <c r="H109" s="787"/>
      <c r="I109" s="787"/>
      <c r="J109" s="787"/>
      <c r="K109" s="787"/>
      <c r="L109" s="179"/>
    </row>
    <row r="110" spans="1:12">
      <c r="B110" s="192"/>
      <c r="C110" s="192"/>
      <c r="D110" s="192"/>
      <c r="E110" s="192"/>
      <c r="F110" s="192"/>
      <c r="G110" s="195"/>
      <c r="H110" s="195"/>
      <c r="I110" s="195"/>
      <c r="J110" s="195"/>
      <c r="K110" s="195"/>
      <c r="L110" s="179"/>
    </row>
    <row r="111" spans="1:12">
      <c r="B111" s="789" t="s">
        <v>1591</v>
      </c>
      <c r="C111" s="789"/>
      <c r="D111" s="789"/>
      <c r="E111" s="789"/>
      <c r="F111" s="789"/>
      <c r="G111" s="789"/>
      <c r="H111" s="789"/>
      <c r="I111" s="789"/>
      <c r="J111" s="789"/>
      <c r="K111" s="789"/>
      <c r="L111" s="179"/>
    </row>
    <row r="112" spans="1:12" ht="15" customHeight="1">
      <c r="B112" s="764" t="s">
        <v>1592</v>
      </c>
      <c r="C112" s="764"/>
      <c r="D112" s="764"/>
      <c r="E112" s="764"/>
      <c r="F112" s="764"/>
      <c r="G112" s="764"/>
      <c r="H112" s="764"/>
      <c r="I112" s="764"/>
      <c r="J112" s="764"/>
      <c r="K112" s="764"/>
      <c r="L112" s="179"/>
    </row>
    <row r="113" spans="2:12" ht="15" customHeight="1">
      <c r="B113" s="792" t="s">
        <v>1596</v>
      </c>
      <c r="C113" s="792"/>
      <c r="D113" s="792"/>
      <c r="E113" s="792"/>
      <c r="F113" s="792"/>
      <c r="G113" s="792"/>
      <c r="H113" s="792"/>
      <c r="I113" s="792"/>
      <c r="J113" s="792"/>
      <c r="K113" s="184"/>
      <c r="L113" s="179"/>
    </row>
    <row r="114" spans="2:12" ht="15" customHeight="1">
      <c r="B114" s="195"/>
      <c r="C114" s="195"/>
      <c r="D114" s="195"/>
      <c r="E114" s="195"/>
      <c r="F114" s="195"/>
      <c r="G114" s="195"/>
      <c r="H114" s="192"/>
      <c r="I114" s="192"/>
      <c r="J114" s="192"/>
      <c r="K114" s="192"/>
      <c r="L114" s="179"/>
    </row>
    <row r="115" spans="2:12" ht="15" customHeight="1">
      <c r="B115" s="764" t="s">
        <v>1597</v>
      </c>
      <c r="C115" s="764"/>
      <c r="D115" s="764"/>
      <c r="E115" s="764"/>
      <c r="F115" s="764"/>
      <c r="G115" s="764"/>
      <c r="H115" s="764"/>
      <c r="I115" s="764"/>
      <c r="J115" s="764"/>
      <c r="K115" s="764"/>
      <c r="L115" s="179"/>
    </row>
    <row r="116" spans="2:12">
      <c r="B116" s="764"/>
      <c r="C116" s="764"/>
      <c r="D116" s="764"/>
      <c r="E116" s="764"/>
      <c r="F116" s="764"/>
      <c r="G116" s="764"/>
      <c r="H116" s="764"/>
      <c r="I116" s="764"/>
      <c r="J116" s="764"/>
      <c r="K116" s="764"/>
      <c r="L116" s="179"/>
    </row>
    <row r="117" spans="2:12">
      <c r="B117" s="792" t="s">
        <v>1763</v>
      </c>
      <c r="C117" s="792"/>
      <c r="D117" s="792"/>
      <c r="E117" s="792"/>
      <c r="F117" s="792"/>
      <c r="G117" s="792"/>
      <c r="H117" s="792"/>
      <c r="I117" s="792"/>
      <c r="J117" s="792"/>
      <c r="K117" s="184"/>
      <c r="L117" s="179"/>
    </row>
    <row r="118" spans="2:12">
      <c r="B118" s="195"/>
      <c r="C118" s="195"/>
      <c r="D118" s="195"/>
      <c r="E118" s="195"/>
      <c r="F118" s="195"/>
      <c r="G118" s="195"/>
      <c r="H118" s="192"/>
      <c r="I118" s="192"/>
      <c r="J118" s="192"/>
      <c r="K118" s="192"/>
      <c r="L118" s="179"/>
    </row>
    <row r="119" spans="2:12" ht="15" customHeight="1">
      <c r="B119" s="764" t="s">
        <v>1593</v>
      </c>
      <c r="C119" s="764"/>
      <c r="D119" s="764"/>
      <c r="E119" s="764"/>
      <c r="F119" s="764"/>
      <c r="G119" s="764"/>
      <c r="H119" s="764"/>
      <c r="I119" s="764"/>
      <c r="J119" s="764"/>
      <c r="K119" s="764"/>
      <c r="L119" s="179"/>
    </row>
    <row r="120" spans="2:12">
      <c r="B120" s="787" t="s">
        <v>1598</v>
      </c>
      <c r="C120" s="787"/>
      <c r="D120" s="787"/>
      <c r="E120" s="787"/>
      <c r="F120" s="787"/>
      <c r="G120" s="787"/>
      <c r="H120" s="787"/>
      <c r="I120" s="787"/>
      <c r="J120" s="787"/>
      <c r="K120" s="196"/>
      <c r="L120" s="179"/>
    </row>
    <row r="121" spans="2:12">
      <c r="B121" s="195"/>
      <c r="C121" s="195"/>
      <c r="D121" s="195"/>
      <c r="E121" s="195"/>
      <c r="F121" s="195"/>
      <c r="G121" s="195"/>
      <c r="H121" s="192"/>
      <c r="I121" s="192"/>
      <c r="J121" s="192"/>
      <c r="K121" s="192"/>
      <c r="L121" s="179"/>
    </row>
    <row r="122" spans="2:12" ht="15" customHeight="1">
      <c r="B122" s="764" t="s">
        <v>1594</v>
      </c>
      <c r="C122" s="764"/>
      <c r="D122" s="764"/>
      <c r="E122" s="764"/>
      <c r="F122" s="764"/>
      <c r="G122" s="764"/>
      <c r="H122" s="764"/>
      <c r="I122" s="764"/>
      <c r="J122" s="764"/>
      <c r="K122" s="764"/>
      <c r="L122" s="179"/>
    </row>
    <row r="123" spans="2:12">
      <c r="B123" s="792" t="s">
        <v>1599</v>
      </c>
      <c r="C123" s="792"/>
      <c r="D123" s="792"/>
      <c r="E123" s="792"/>
      <c r="F123" s="792"/>
      <c r="G123" s="792"/>
      <c r="H123" s="792"/>
      <c r="I123" s="792"/>
      <c r="J123" s="792"/>
      <c r="K123" s="185"/>
      <c r="L123" s="179"/>
    </row>
    <row r="124" spans="2:12">
      <c r="B124" s="195"/>
      <c r="C124" s="195"/>
      <c r="D124" s="195"/>
      <c r="E124" s="195"/>
      <c r="F124" s="195"/>
      <c r="G124" s="195"/>
      <c r="H124" s="197"/>
      <c r="I124" s="197"/>
      <c r="J124" s="197"/>
      <c r="K124" s="197"/>
      <c r="L124" s="179"/>
    </row>
    <row r="125" spans="2:12" ht="15" customHeight="1">
      <c r="B125" s="764" t="s">
        <v>1595</v>
      </c>
      <c r="C125" s="764"/>
      <c r="D125" s="764"/>
      <c r="E125" s="764"/>
      <c r="F125" s="764"/>
      <c r="G125" s="764"/>
      <c r="H125" s="764"/>
      <c r="I125" s="764"/>
      <c r="J125" s="764"/>
      <c r="K125" s="764"/>
      <c r="L125" s="179"/>
    </row>
    <row r="126" spans="2:12">
      <c r="B126" s="764"/>
      <c r="C126" s="764"/>
      <c r="D126" s="764"/>
      <c r="E126" s="764"/>
      <c r="F126" s="764"/>
      <c r="G126" s="764"/>
      <c r="H126" s="764"/>
      <c r="I126" s="764"/>
      <c r="J126" s="764"/>
      <c r="K126" s="764"/>
    </row>
    <row r="127" spans="2:12">
      <c r="B127" s="792" t="s">
        <v>1764</v>
      </c>
      <c r="C127" s="792"/>
      <c r="D127" s="792"/>
      <c r="E127" s="792"/>
      <c r="F127" s="792"/>
      <c r="G127" s="792"/>
      <c r="H127" s="792"/>
      <c r="I127" s="792"/>
      <c r="J127" s="792"/>
    </row>
    <row r="128" spans="2:12">
      <c r="B128" s="183"/>
      <c r="C128" s="183"/>
      <c r="D128" s="183"/>
      <c r="E128" s="183"/>
      <c r="F128" s="183"/>
      <c r="G128" s="183"/>
      <c r="I128" s="186"/>
      <c r="J128" s="186"/>
    </row>
    <row r="129" spans="2:11">
      <c r="B129" s="183"/>
      <c r="C129" s="183"/>
      <c r="D129" s="183"/>
      <c r="E129" s="183"/>
      <c r="F129" s="183"/>
      <c r="G129" s="183"/>
      <c r="I129" s="186"/>
      <c r="J129" s="186"/>
    </row>
    <row r="130" spans="2:11">
      <c r="B130" s="183"/>
      <c r="C130" s="183"/>
      <c r="D130" s="183"/>
      <c r="E130" s="183"/>
      <c r="F130" s="183"/>
      <c r="G130" s="183"/>
      <c r="I130" s="186"/>
      <c r="J130" s="186"/>
    </row>
    <row r="131" spans="2:11" ht="15" customHeight="1">
      <c r="B131" s="764" t="s">
        <v>1600</v>
      </c>
      <c r="C131" s="764"/>
      <c r="D131" s="764"/>
      <c r="E131" s="764"/>
      <c r="F131" s="764"/>
      <c r="G131" s="764"/>
      <c r="H131" s="764"/>
      <c r="I131" s="764"/>
      <c r="J131" s="764"/>
      <c r="K131" s="764"/>
    </row>
    <row r="132" spans="2:11">
      <c r="B132" s="764"/>
      <c r="C132" s="764"/>
      <c r="D132" s="764"/>
      <c r="E132" s="764"/>
      <c r="F132" s="764"/>
      <c r="G132" s="764"/>
      <c r="H132" s="764"/>
      <c r="I132" s="764"/>
      <c r="J132" s="764"/>
      <c r="K132" s="764"/>
    </row>
    <row r="133" spans="2:11">
      <c r="B133" s="787" t="s">
        <v>1601</v>
      </c>
      <c r="C133" s="787"/>
      <c r="D133" s="787"/>
      <c r="E133" s="787"/>
      <c r="F133" s="787"/>
      <c r="G133" s="787"/>
      <c r="H133" s="787"/>
      <c r="I133" s="787"/>
      <c r="J133" s="787"/>
      <c r="K133" s="187"/>
    </row>
    <row r="134" spans="2:11">
      <c r="B134" s="196"/>
      <c r="C134" s="196"/>
      <c r="D134" s="196"/>
      <c r="E134" s="196"/>
      <c r="F134" s="196"/>
      <c r="G134" s="196"/>
      <c r="H134" s="196"/>
      <c r="I134" s="187"/>
      <c r="J134" s="198"/>
      <c r="K134" s="198"/>
    </row>
    <row r="135" spans="2:11">
      <c r="B135" s="187"/>
      <c r="C135" s="187"/>
      <c r="D135" s="187"/>
      <c r="E135" s="187"/>
      <c r="F135" s="187"/>
      <c r="G135" s="187"/>
      <c r="H135" s="187"/>
      <c r="I135" s="187"/>
      <c r="J135" s="187"/>
      <c r="K135" s="187"/>
    </row>
    <row r="136" spans="2:11">
      <c r="B136" s="187"/>
      <c r="C136" s="187"/>
      <c r="D136" s="187"/>
      <c r="E136" s="187"/>
      <c r="F136" s="187"/>
      <c r="G136" s="187"/>
      <c r="H136" s="187"/>
      <c r="I136" s="187"/>
      <c r="J136" s="187"/>
      <c r="K136" s="187"/>
    </row>
    <row r="137" spans="2:11">
      <c r="B137" s="187"/>
      <c r="C137" s="187"/>
      <c r="D137" s="187"/>
      <c r="E137" s="187"/>
      <c r="F137" s="187"/>
      <c r="G137" s="187"/>
      <c r="H137" s="187"/>
      <c r="I137" s="187"/>
      <c r="J137" s="187"/>
      <c r="K137" s="187"/>
    </row>
    <row r="138" spans="2:11">
      <c r="B138" s="187"/>
      <c r="C138" s="187"/>
      <c r="D138" s="187"/>
      <c r="E138" s="199"/>
      <c r="F138" s="199"/>
      <c r="G138" s="199"/>
      <c r="H138" s="187"/>
      <c r="I138" s="187"/>
      <c r="J138" s="187"/>
      <c r="K138" s="187"/>
    </row>
    <row r="142" spans="2:11">
      <c r="B142" s="790" t="s">
        <v>1528</v>
      </c>
      <c r="C142" s="790"/>
      <c r="D142" s="790" t="s">
        <v>1529</v>
      </c>
      <c r="E142" s="790"/>
      <c r="F142" s="790"/>
      <c r="G142" s="790">
        <f>CAM!T6</f>
        <v>0</v>
      </c>
      <c r="H142" s="790"/>
      <c r="I142" s="113" t="s">
        <v>1530</v>
      </c>
      <c r="J142" s="791">
        <f>CAM!G228</f>
        <v>0</v>
      </c>
      <c r="K142" s="791"/>
    </row>
  </sheetData>
  <sheetProtection algorithmName="SHA-512" hashValue="D4YubhPkgUonTbMi12mFDDE8OJG2/3dEmflhJHropEtO9mm0KE8StBd/MT0Ylbbn1yI/wuaZpMuGAY+wv/iHNg==" saltValue="VacSOurNsmjxQ1P/VlXZGQ==" spinCount="100000" sheet="1" objects="1" scenarios="1"/>
  <mergeCells count="150">
    <mergeCell ref="B142:C142"/>
    <mergeCell ref="G142:H142"/>
    <mergeCell ref="D142:F142"/>
    <mergeCell ref="J142:K142"/>
    <mergeCell ref="B125:K126"/>
    <mergeCell ref="B127:J127"/>
    <mergeCell ref="B131:K132"/>
    <mergeCell ref="B133:J133"/>
    <mergeCell ref="G107:K109"/>
    <mergeCell ref="B115:K116"/>
    <mergeCell ref="B117:J117"/>
    <mergeCell ref="B119:K119"/>
    <mergeCell ref="B120:J120"/>
    <mergeCell ref="B122:K122"/>
    <mergeCell ref="B123:J123"/>
    <mergeCell ref="B112:K112"/>
    <mergeCell ref="B113:J113"/>
    <mergeCell ref="B105:E105"/>
    <mergeCell ref="G104:K104"/>
    <mergeCell ref="G105:K105"/>
    <mergeCell ref="B106:F106"/>
    <mergeCell ref="G106:K106"/>
    <mergeCell ref="B107:F107"/>
    <mergeCell ref="B111:K111"/>
    <mergeCell ref="B96:K96"/>
    <mergeCell ref="B97:K97"/>
    <mergeCell ref="B98:K98"/>
    <mergeCell ref="B99:K99"/>
    <mergeCell ref="B100:K100"/>
    <mergeCell ref="B102:K103"/>
    <mergeCell ref="B104:E104"/>
    <mergeCell ref="B77:K87"/>
    <mergeCell ref="B90:K90"/>
    <mergeCell ref="B91:K91"/>
    <mergeCell ref="B92:K92"/>
    <mergeCell ref="B93:K93"/>
    <mergeCell ref="B94:K94"/>
    <mergeCell ref="B95:K95"/>
    <mergeCell ref="B66:D66"/>
    <mergeCell ref="E66:J66"/>
    <mergeCell ref="B67:D67"/>
    <mergeCell ref="E67:H67"/>
    <mergeCell ref="B68:D68"/>
    <mergeCell ref="E68:H68"/>
    <mergeCell ref="B70:K71"/>
    <mergeCell ref="B72:J73"/>
    <mergeCell ref="G57:K57"/>
    <mergeCell ref="B58:D58"/>
    <mergeCell ref="G58:K58"/>
    <mergeCell ref="B59:D59"/>
    <mergeCell ref="G59:K59"/>
    <mergeCell ref="B60:D60"/>
    <mergeCell ref="G60:K60"/>
    <mergeCell ref="B62:K65"/>
    <mergeCell ref="D2:I2"/>
    <mergeCell ref="D3:I3"/>
    <mergeCell ref="B5:D5"/>
    <mergeCell ref="E5:I5"/>
    <mergeCell ref="J5:K5"/>
    <mergeCell ref="B6:D6"/>
    <mergeCell ref="E6:I6"/>
    <mergeCell ref="J6:K6"/>
    <mergeCell ref="E31:E32"/>
    <mergeCell ref="F31:F32"/>
    <mergeCell ref="G31:K32"/>
    <mergeCell ref="B10:D10"/>
    <mergeCell ref="E10:F10"/>
    <mergeCell ref="B13:K14"/>
    <mergeCell ref="B16:K16"/>
    <mergeCell ref="B7:D7"/>
    <mergeCell ref="E7:I7"/>
    <mergeCell ref="B8:D8"/>
    <mergeCell ref="E8:I8"/>
    <mergeCell ref="B9:D9"/>
    <mergeCell ref="E9:I9"/>
    <mergeCell ref="B19:E19"/>
    <mergeCell ref="G19:H19"/>
    <mergeCell ref="I19:K19"/>
    <mergeCell ref="B20:E20"/>
    <mergeCell ref="G20:H20"/>
    <mergeCell ref="I20:K20"/>
    <mergeCell ref="B17:E17"/>
    <mergeCell ref="G17:H17"/>
    <mergeCell ref="I17:K17"/>
    <mergeCell ref="B18:E18"/>
    <mergeCell ref="G18:H18"/>
    <mergeCell ref="I18:K18"/>
    <mergeCell ref="B23:E23"/>
    <mergeCell ref="G23:H23"/>
    <mergeCell ref="I23:K23"/>
    <mergeCell ref="B24:E24"/>
    <mergeCell ref="G24:H24"/>
    <mergeCell ref="I24:K24"/>
    <mergeCell ref="B21:E21"/>
    <mergeCell ref="G21:H21"/>
    <mergeCell ref="I21:K21"/>
    <mergeCell ref="B22:E22"/>
    <mergeCell ref="G22:H22"/>
    <mergeCell ref="I22:K22"/>
    <mergeCell ref="B27:E27"/>
    <mergeCell ref="G27:H27"/>
    <mergeCell ref="I27:K27"/>
    <mergeCell ref="B25:E25"/>
    <mergeCell ref="G25:H25"/>
    <mergeCell ref="I25:K25"/>
    <mergeCell ref="B26:E26"/>
    <mergeCell ref="G26:H26"/>
    <mergeCell ref="I26:K26"/>
    <mergeCell ref="G33:K33"/>
    <mergeCell ref="G34:K34"/>
    <mergeCell ref="G35:K35"/>
    <mergeCell ref="G36:K36"/>
    <mergeCell ref="G37:K37"/>
    <mergeCell ref="G38:K38"/>
    <mergeCell ref="G39:K39"/>
    <mergeCell ref="G40:K40"/>
    <mergeCell ref="G41:K41"/>
    <mergeCell ref="G42:K42"/>
    <mergeCell ref="B29:K30"/>
    <mergeCell ref="B75:K75"/>
    <mergeCell ref="B76:K76"/>
    <mergeCell ref="B47:K48"/>
    <mergeCell ref="B49:D50"/>
    <mergeCell ref="E49:E50"/>
    <mergeCell ref="F49:F50"/>
    <mergeCell ref="G49:K50"/>
    <mergeCell ref="B51:D51"/>
    <mergeCell ref="G51:K51"/>
    <mergeCell ref="B52:D52"/>
    <mergeCell ref="G52:K52"/>
    <mergeCell ref="B53:D53"/>
    <mergeCell ref="G53:K53"/>
    <mergeCell ref="B54:D54"/>
    <mergeCell ref="G54:K54"/>
    <mergeCell ref="B55:D55"/>
    <mergeCell ref="G55:K55"/>
    <mergeCell ref="B56:D56"/>
    <mergeCell ref="G56:K56"/>
    <mergeCell ref="B57:D57"/>
    <mergeCell ref="B39:D39"/>
    <mergeCell ref="B40:D40"/>
    <mergeCell ref="B34:D34"/>
    <mergeCell ref="B35:D35"/>
    <mergeCell ref="B36:D36"/>
    <mergeCell ref="B37:D37"/>
    <mergeCell ref="B38:D38"/>
    <mergeCell ref="B31:D32"/>
    <mergeCell ref="B33:D33"/>
    <mergeCell ref="B41:D41"/>
    <mergeCell ref="B42:D42"/>
  </mergeCells>
  <dataValidations count="11">
    <dataValidation type="list" allowBlank="1" showInputMessage="1" showErrorMessage="1" sqref="I128:J130">
      <formula1>"Positive, Negative, Not Required"</formula1>
    </dataValidation>
    <dataValidation type="list" allowBlank="1" showInputMessage="1" showErrorMessage="1" sqref="E7">
      <formula1>"Healthcare Equipment Loan, Equipment Finance"</formula1>
    </dataValidation>
    <dataValidation type="list" allowBlank="1" showInputMessage="1" showErrorMessage="1" sqref="E10:F10">
      <formula1>"Low, Medium, High"</formula1>
    </dataValidation>
    <dataValidation type="list" allowBlank="1" showInputMessage="1" showErrorMessage="1" sqref="E33:F42 E51:F60">
      <formula1>"No Match, Match-1,Macth-2,Match-3,Match-4,Match-5,Match-6,Match-7,Match-8,Match-9,Match-10"</formula1>
    </dataValidation>
    <dataValidation type="list" allowBlank="1" showInputMessage="1" showErrorMessage="1" sqref="G104">
      <formula1>"Diagnostic &amp; Medical Services, Hospital, Equipment Finance"</formula1>
    </dataValidation>
    <dataValidation type="list" allowBlank="1" showInputMessage="1" showErrorMessage="1" sqref="G105:K105">
      <formula1>"Yes,No"</formula1>
    </dataValidation>
    <dataValidation type="list" allowBlank="1" showInputMessage="1" showErrorMessage="1" sqref="G106:K106">
      <formula1>"PDC, NACH"</formula1>
    </dataValidation>
    <dataValidation type="list" allowBlank="1" showInputMessage="1" showErrorMessage="1" sqref="B113:J113">
      <formula1>"Detailed Check done on Legal and / or Reputation and found to be positive,Detailed Check done on Legal and / or Reputation and found to be Negative but approval taken"</formula1>
    </dataValidation>
    <dataValidation type="list" allowBlank="1" showInputMessage="1" showErrorMessage="1" sqref="B117 K117">
      <formula1>"Due Diligence Checks Conducted are Positive, Due Diligence Checks Conducted are Negative but relevant approvals taken "</formula1>
    </dataValidation>
    <dataValidation type="list" allowBlank="1" showInputMessage="1" showErrorMessage="1" sqref="B123:J123">
      <formula1>"Yes - Makes Good Business Sense, No - Viability is a Challenge"</formula1>
    </dataValidation>
    <dataValidation type="list" allowBlank="1" showInputMessage="1" showErrorMessage="1" sqref="B127:J127">
      <formula1>"Yes - Appears in Normal Course, No - This is a diverfication of the regular business"</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Workings!$Q$8:$Q$10</xm:f>
          </x14:formula1>
          <xm:sqref>G121:I121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92"/>
  <sheetViews>
    <sheetView showGridLines="0" showZeros="0" view="pageLayout" topLeftCell="A2" zoomScaleNormal="85" workbookViewId="0">
      <selection activeCell="B20" sqref="B20:I20"/>
    </sheetView>
  </sheetViews>
  <sheetFormatPr defaultColWidth="9.140625" defaultRowHeight="15"/>
  <cols>
    <col min="1" max="1" width="2.5703125" style="113" customWidth="1"/>
    <col min="2" max="3" width="9.140625" style="113" customWidth="1"/>
    <col min="4" max="9" width="9.140625" style="113"/>
    <col min="10" max="10" width="8" style="113" customWidth="1"/>
    <col min="11" max="11" width="9.140625" style="113" customWidth="1"/>
    <col min="12" max="12" width="2.5703125" style="113" customWidth="1"/>
  </cols>
  <sheetData>
    <row r="2" spans="2:11">
      <c r="D2" s="806" t="s">
        <v>1537</v>
      </c>
      <c r="E2" s="806"/>
      <c r="F2" s="806"/>
      <c r="G2" s="806"/>
      <c r="H2" s="806"/>
      <c r="I2" s="806"/>
    </row>
    <row r="3" spans="2:11">
      <c r="D3" s="805" t="s">
        <v>1515</v>
      </c>
      <c r="E3" s="805"/>
      <c r="F3" s="805"/>
      <c r="G3" s="805"/>
      <c r="H3" s="805"/>
      <c r="I3" s="805"/>
    </row>
    <row r="5" spans="2:11">
      <c r="B5" s="790" t="s">
        <v>1516</v>
      </c>
      <c r="C5" s="790"/>
      <c r="D5" s="790"/>
      <c r="E5" s="790" t="str">
        <f>CAM!D12</f>
        <v>Atrium Newgen Diagnostics</v>
      </c>
      <c r="F5" s="790"/>
      <c r="G5" s="790"/>
      <c r="H5" s="790"/>
      <c r="I5" s="790"/>
      <c r="J5" s="802" t="s">
        <v>1517</v>
      </c>
      <c r="K5" s="802"/>
    </row>
    <row r="6" spans="2:11">
      <c r="B6" s="790" t="s">
        <v>1535</v>
      </c>
      <c r="C6" s="790"/>
      <c r="D6" s="790"/>
      <c r="E6" s="790">
        <f>CAM!D18</f>
        <v>0</v>
      </c>
      <c r="F6" s="790"/>
      <c r="G6" s="790"/>
      <c r="H6" s="790"/>
      <c r="I6" s="790"/>
      <c r="J6" s="802">
        <f>CAM!P6</f>
        <v>0</v>
      </c>
      <c r="K6" s="802"/>
    </row>
    <row r="7" spans="2:11">
      <c r="B7" s="790" t="s">
        <v>1536</v>
      </c>
      <c r="C7" s="790"/>
      <c r="D7" s="790"/>
      <c r="E7" s="778" t="s">
        <v>1705</v>
      </c>
      <c r="F7" s="778"/>
      <c r="G7" s="778"/>
      <c r="H7" s="778"/>
      <c r="I7" s="778"/>
    </row>
    <row r="8" spans="2:11">
      <c r="B8" s="790" t="s">
        <v>1534</v>
      </c>
      <c r="C8" s="790"/>
      <c r="D8" s="790"/>
      <c r="E8" s="803" t="str">
        <f>CAM!E43</f>
        <v>Category A</v>
      </c>
      <c r="F8" s="790"/>
      <c r="G8" s="790"/>
      <c r="H8" s="790"/>
      <c r="I8" s="790"/>
    </row>
    <row r="9" spans="2:11">
      <c r="B9" s="790" t="s">
        <v>1518</v>
      </c>
      <c r="C9" s="790"/>
      <c r="D9" s="790"/>
      <c r="E9" s="790" t="str">
        <f>CAM!T44</f>
        <v>Low</v>
      </c>
      <c r="F9" s="790"/>
      <c r="G9" s="790"/>
      <c r="H9" s="790"/>
      <c r="I9" s="790"/>
    </row>
    <row r="10" spans="2:11">
      <c r="B10" s="790" t="s">
        <v>1531</v>
      </c>
      <c r="C10" s="790"/>
      <c r="D10" s="790"/>
      <c r="E10" s="790"/>
      <c r="F10" s="790"/>
      <c r="G10" s="113" t="s">
        <v>1519</v>
      </c>
    </row>
    <row r="11" spans="2:11">
      <c r="B11" s="114" t="s">
        <v>1520</v>
      </c>
      <c r="C11" s="114"/>
    </row>
    <row r="13" spans="2:11">
      <c r="B13" s="804" t="s">
        <v>1532</v>
      </c>
      <c r="C13" s="804"/>
      <c r="D13" s="804"/>
      <c r="E13" s="804"/>
      <c r="F13" s="804"/>
      <c r="G13" s="804"/>
      <c r="H13" s="804"/>
      <c r="I13" s="804"/>
      <c r="J13" s="804"/>
      <c r="K13" s="804"/>
    </row>
    <row r="14" spans="2:11">
      <c r="B14" s="804"/>
      <c r="C14" s="804"/>
      <c r="D14" s="804"/>
      <c r="E14" s="804"/>
      <c r="F14" s="804"/>
      <c r="G14" s="804"/>
      <c r="H14" s="804"/>
      <c r="I14" s="804"/>
      <c r="J14" s="804"/>
      <c r="K14" s="804"/>
    </row>
    <row r="16" spans="2:11">
      <c r="B16" s="799" t="s">
        <v>1521</v>
      </c>
      <c r="C16" s="799"/>
      <c r="D16" s="799"/>
      <c r="E16" s="799"/>
      <c r="F16" s="799"/>
      <c r="G16" s="799"/>
      <c r="H16" s="799"/>
      <c r="I16" s="799"/>
      <c r="J16" s="799"/>
      <c r="K16" s="799"/>
    </row>
    <row r="17" spans="2:11">
      <c r="B17" s="799"/>
      <c r="C17" s="799"/>
      <c r="D17" s="799"/>
      <c r="E17" s="799"/>
      <c r="F17" s="799"/>
      <c r="G17" s="799"/>
      <c r="H17" s="799"/>
      <c r="I17" s="799"/>
      <c r="J17" s="799"/>
      <c r="K17" s="799"/>
    </row>
    <row r="18" spans="2:11">
      <c r="B18" s="778" t="s">
        <v>1543</v>
      </c>
      <c r="C18" s="778"/>
      <c r="D18" s="778"/>
      <c r="E18" s="778"/>
      <c r="F18" s="778"/>
      <c r="G18" s="778"/>
      <c r="H18" s="778"/>
      <c r="I18" s="778"/>
    </row>
    <row r="19" spans="2:11">
      <c r="B19" s="778"/>
      <c r="C19" s="778"/>
      <c r="D19" s="778"/>
      <c r="E19" s="778"/>
      <c r="F19" s="778"/>
      <c r="G19" s="778"/>
      <c r="H19" s="778"/>
      <c r="I19" s="778"/>
    </row>
    <row r="20" spans="2:11">
      <c r="B20" s="778"/>
      <c r="C20" s="778"/>
      <c r="D20" s="778"/>
      <c r="E20" s="778"/>
      <c r="F20" s="778"/>
      <c r="G20" s="778"/>
      <c r="H20" s="778"/>
      <c r="I20" s="778"/>
    </row>
    <row r="22" spans="2:11">
      <c r="B22" s="795" t="s">
        <v>1522</v>
      </c>
      <c r="C22" s="795"/>
      <c r="D22" s="795"/>
      <c r="E22" s="795"/>
      <c r="F22" s="795"/>
      <c r="G22" s="795"/>
      <c r="H22" s="795"/>
      <c r="I22" s="795"/>
      <c r="J22" s="795"/>
      <c r="K22" s="795"/>
    </row>
    <row r="23" spans="2:11">
      <c r="B23" s="778" t="s">
        <v>1555</v>
      </c>
      <c r="C23" s="778"/>
      <c r="D23" s="778"/>
      <c r="E23" s="778"/>
      <c r="F23" s="778"/>
      <c r="G23" s="778"/>
      <c r="H23" s="778"/>
      <c r="I23" s="778"/>
    </row>
    <row r="24" spans="2:11">
      <c r="B24" s="778"/>
      <c r="C24" s="778"/>
      <c r="D24" s="778"/>
      <c r="E24" s="778"/>
      <c r="F24" s="778"/>
      <c r="G24" s="778"/>
      <c r="H24" s="778"/>
      <c r="I24" s="778"/>
    </row>
    <row r="25" spans="2:11">
      <c r="B25" s="778"/>
      <c r="C25" s="778"/>
      <c r="D25" s="778"/>
      <c r="E25" s="778"/>
      <c r="F25" s="778"/>
      <c r="G25" s="778"/>
      <c r="H25" s="778"/>
      <c r="I25" s="778"/>
    </row>
    <row r="27" spans="2:11">
      <c r="B27" s="795" t="s">
        <v>1556</v>
      </c>
      <c r="C27" s="795"/>
      <c r="D27" s="795"/>
      <c r="E27" s="795"/>
      <c r="F27" s="795"/>
      <c r="G27" s="795"/>
      <c r="H27" s="795"/>
      <c r="I27" s="795"/>
      <c r="J27" s="795"/>
      <c r="K27" s="795"/>
    </row>
    <row r="28" spans="2:11">
      <c r="B28" s="113" t="s">
        <v>1557</v>
      </c>
    </row>
    <row r="29" spans="2:11">
      <c r="B29" s="801" t="s">
        <v>1558</v>
      </c>
      <c r="C29" s="801"/>
      <c r="D29" s="801"/>
      <c r="E29" s="801"/>
      <c r="F29" s="115" t="s">
        <v>390</v>
      </c>
      <c r="G29" s="800" t="s">
        <v>1559</v>
      </c>
      <c r="H29" s="800"/>
      <c r="I29" s="800" t="s">
        <v>1523</v>
      </c>
      <c r="J29" s="800"/>
      <c r="K29" s="800"/>
    </row>
    <row r="30" spans="2:11">
      <c r="B30" s="801">
        <f>CAM!D18</f>
        <v>0</v>
      </c>
      <c r="C30" s="801"/>
      <c r="D30" s="801"/>
      <c r="E30" s="801"/>
      <c r="F30" s="116">
        <f>CAM!K18</f>
        <v>0</v>
      </c>
      <c r="G30" s="800">
        <f>CAM!H30</f>
        <v>0</v>
      </c>
      <c r="H30" s="800"/>
      <c r="I30" s="800">
        <f>CAM!I30</f>
        <v>0</v>
      </c>
      <c r="J30" s="800"/>
      <c r="K30" s="800"/>
    </row>
    <row r="31" spans="2:11">
      <c r="B31" s="801" t="str">
        <f>CAM!D19</f>
        <v>Atrium Newgen Diagnostics</v>
      </c>
      <c r="C31" s="801"/>
      <c r="D31" s="801"/>
      <c r="E31" s="801"/>
      <c r="F31" s="117">
        <f>CAM!K19</f>
        <v>0</v>
      </c>
      <c r="G31" s="800" t="str">
        <f>CAM!H31</f>
        <v>AGVPR7975C</v>
      </c>
      <c r="H31" s="800"/>
      <c r="I31" s="800" t="str">
        <f>CAM!I31</f>
        <v>3818 3598 8983</v>
      </c>
      <c r="J31" s="800"/>
      <c r="K31" s="800"/>
    </row>
    <row r="32" spans="2:11">
      <c r="B32" s="801" t="str">
        <f>CAM!D20</f>
        <v>Sandeep Shekhawat</v>
      </c>
      <c r="C32" s="801"/>
      <c r="D32" s="801"/>
      <c r="E32" s="801"/>
      <c r="F32" s="117">
        <f>CAM!K20</f>
        <v>0</v>
      </c>
      <c r="G32" s="800" t="str">
        <f>CAM!H32</f>
        <v>BCQPS8901P</v>
      </c>
      <c r="H32" s="800"/>
      <c r="I32" s="800" t="str">
        <f>CAM!I32</f>
        <v>8331 6813 3624</v>
      </c>
      <c r="J32" s="800"/>
      <c r="K32" s="800"/>
    </row>
    <row r="33" spans="2:11">
      <c r="B33" s="801" t="str">
        <f>CAM!D21</f>
        <v>Neeraj Bhandari</v>
      </c>
      <c r="C33" s="801"/>
      <c r="D33" s="801"/>
      <c r="E33" s="801"/>
      <c r="F33" s="117">
        <f>CAM!K21</f>
        <v>0</v>
      </c>
      <c r="G33" s="800" t="str">
        <f>CAM!H33</f>
        <v>AJDPB4968N</v>
      </c>
      <c r="H33" s="800"/>
      <c r="I33" s="800" t="str">
        <f>CAM!I33</f>
        <v>4551 2914 3963</v>
      </c>
      <c r="J33" s="800"/>
      <c r="K33" s="800"/>
    </row>
    <row r="34" spans="2:11">
      <c r="B34" s="801" t="str">
        <f>CAM!D22</f>
        <v>Dr. Nidhi Goyal</v>
      </c>
      <c r="C34" s="801"/>
      <c r="D34" s="801"/>
      <c r="E34" s="801"/>
      <c r="F34" s="117">
        <f>CAM!K22</f>
        <v>0</v>
      </c>
      <c r="G34" s="800" t="str">
        <f>CAM!H34</f>
        <v>AKTPG0502G</v>
      </c>
      <c r="H34" s="800"/>
      <c r="I34" s="800" t="str">
        <f>CAM!I34</f>
        <v>8494 4218 6075</v>
      </c>
      <c r="J34" s="800"/>
      <c r="K34" s="800"/>
    </row>
    <row r="35" spans="2:11">
      <c r="B35" s="801" t="str">
        <f>CAM!D23</f>
        <v>Dr. Saurabh Singh Gehlot</v>
      </c>
      <c r="C35" s="801"/>
      <c r="D35" s="801"/>
      <c r="E35" s="801"/>
      <c r="F35" s="117">
        <f>CAM!K23</f>
        <v>0</v>
      </c>
      <c r="G35" s="800" t="str">
        <f>CAM!H35</f>
        <v>ALGPG6910L</v>
      </c>
      <c r="H35" s="800"/>
      <c r="I35" s="800" t="str">
        <f>CAM!I35</f>
        <v>2121 0550 9942</v>
      </c>
      <c r="J35" s="800"/>
      <c r="K35" s="800"/>
    </row>
    <row r="36" spans="2:11">
      <c r="B36" s="801" t="str">
        <f>CAM!D24</f>
        <v>Atul Kumar Agarwal</v>
      </c>
      <c r="C36" s="801"/>
      <c r="D36" s="801"/>
      <c r="E36" s="801"/>
      <c r="F36" s="117">
        <f>CAM!K24</f>
        <v>0</v>
      </c>
      <c r="G36" s="800" t="str">
        <f>CAM!H36</f>
        <v>AIIPA0426C</v>
      </c>
      <c r="H36" s="800"/>
      <c r="I36" s="800" t="str">
        <f>CAM!I36</f>
        <v>6454 8804 8585</v>
      </c>
      <c r="J36" s="800"/>
      <c r="K36" s="800"/>
    </row>
    <row r="37" spans="2:11">
      <c r="B37" s="801">
        <f>CAM!D25</f>
        <v>0</v>
      </c>
      <c r="C37" s="801"/>
      <c r="D37" s="801"/>
      <c r="E37" s="801"/>
      <c r="F37" s="117">
        <f>CAM!K25</f>
        <v>0</v>
      </c>
      <c r="G37" s="800">
        <f>CAM!H37</f>
        <v>0</v>
      </c>
      <c r="H37" s="800"/>
      <c r="I37" s="800">
        <f>CAM!I37</f>
        <v>0</v>
      </c>
      <c r="J37" s="800"/>
      <c r="K37" s="800"/>
    </row>
    <row r="38" spans="2:11">
      <c r="B38" s="801">
        <f>CAM!D26</f>
        <v>0</v>
      </c>
      <c r="C38" s="801"/>
      <c r="D38" s="801"/>
      <c r="E38" s="801"/>
      <c r="F38" s="117">
        <f>CAM!K26</f>
        <v>0</v>
      </c>
      <c r="G38" s="800">
        <f>CAM!H38</f>
        <v>0</v>
      </c>
      <c r="H38" s="800"/>
      <c r="I38" s="800">
        <f>CAM!I38</f>
        <v>0</v>
      </c>
      <c r="J38" s="800"/>
      <c r="K38" s="800"/>
    </row>
    <row r="39" spans="2:11">
      <c r="B39" s="801">
        <f>CAM!D27</f>
        <v>0</v>
      </c>
      <c r="C39" s="801"/>
      <c r="D39" s="801"/>
      <c r="E39" s="801"/>
      <c r="F39" s="117">
        <f>CAM!K27</f>
        <v>0</v>
      </c>
      <c r="G39" s="800">
        <f>CAM!H39</f>
        <v>0</v>
      </c>
      <c r="H39" s="800"/>
      <c r="I39" s="800">
        <f>CAM!I39</f>
        <v>0</v>
      </c>
      <c r="J39" s="800"/>
      <c r="K39" s="800"/>
    </row>
    <row r="41" spans="2:11">
      <c r="B41" s="795" t="s">
        <v>1524</v>
      </c>
      <c r="C41" s="795"/>
      <c r="D41" s="795"/>
      <c r="E41" s="795"/>
      <c r="F41" s="795"/>
      <c r="G41" s="795"/>
      <c r="H41" s="795"/>
      <c r="I41" s="795"/>
      <c r="J41" s="795"/>
      <c r="K41" s="795"/>
    </row>
    <row r="42" spans="2:11">
      <c r="B42" s="778" t="s">
        <v>1555</v>
      </c>
      <c r="C42" s="778"/>
      <c r="D42" s="778"/>
      <c r="E42" s="778"/>
      <c r="F42" s="778"/>
      <c r="G42" s="778"/>
      <c r="H42" s="778"/>
      <c r="I42" s="778"/>
    </row>
    <row r="43" spans="2:11">
      <c r="B43" s="778" t="s">
        <v>1551</v>
      </c>
      <c r="C43" s="778"/>
      <c r="D43" s="778"/>
      <c r="E43" s="778"/>
      <c r="F43" s="778"/>
      <c r="G43" s="778"/>
      <c r="H43" s="778"/>
      <c r="I43" s="778"/>
    </row>
    <row r="44" spans="2:11">
      <c r="B44" s="778" t="s">
        <v>1551</v>
      </c>
      <c r="C44" s="778"/>
      <c r="D44" s="778"/>
      <c r="E44" s="778"/>
      <c r="F44" s="778"/>
      <c r="G44" s="778"/>
      <c r="H44" s="778"/>
      <c r="I44" s="778"/>
    </row>
    <row r="53" spans="2:12">
      <c r="B53" s="799" t="s">
        <v>1525</v>
      </c>
      <c r="C53" s="799"/>
      <c r="D53" s="799"/>
      <c r="E53" s="799"/>
      <c r="F53" s="799"/>
      <c r="G53" s="799"/>
      <c r="H53" s="799"/>
      <c r="I53" s="799"/>
      <c r="J53" s="799"/>
      <c r="K53" s="799"/>
    </row>
    <row r="54" spans="2:12">
      <c r="B54" s="799"/>
      <c r="C54" s="799"/>
      <c r="D54" s="799"/>
      <c r="E54" s="799"/>
      <c r="F54" s="799"/>
      <c r="G54" s="799"/>
      <c r="H54" s="799"/>
      <c r="I54" s="799"/>
      <c r="J54" s="799"/>
      <c r="K54" s="799"/>
      <c r="L54" s="119"/>
    </row>
    <row r="55" spans="2:12">
      <c r="B55" s="797" t="str">
        <f>CONCATENATE(CAM!B59,":")</f>
        <v>Constitution / Shareholding details:</v>
      </c>
      <c r="C55" s="797"/>
      <c r="D55" s="797"/>
      <c r="E55" s="797"/>
      <c r="F55" s="797"/>
      <c r="G55" s="797"/>
      <c r="H55" s="797"/>
      <c r="I55" s="797"/>
      <c r="J55" s="797"/>
      <c r="K55" s="797"/>
      <c r="L55" s="119"/>
    </row>
    <row r="56" spans="2:12">
      <c r="B56" s="798" t="str">
        <f>CAM!H59</f>
        <v xml:space="preserve">Atrium Newgen Diagnostic was incorporated  in 2021 by Dr. Saurabh Singh Gehlot, Dr. Nidhi Goyal, Dr. Piyush Pandit, Mr. Sandeep Shekhawat, Mr. Atul Aggarwal, Mr. Neeraj Bhandari and will be started its commercial operations in April 2022. The entity operate as a diagnostic centre focusing on All type of CT and MRI diagnose. 
Facilities Brief :
Colorectal Cancer
Colorectal Cancer Colorectal cancer (CRC) is the third most common cancer worldwide and is characterized by substantial spatial phenotypic and genotypic variations . The development of colon cancer involves multiple steps with a continuous cumulative effect of genetic mutation in tumour suppressors and oncogenes. CT and MRI, as well as 18F-FDG-PET imaging, are widely used for the diagnosis, monitoring of therapeutic response, and prognosis of CRC . Recently, there has been an increasing number of investigations on whether or not conventional imaging techniques can predict critical gene mutations in CRC without the need for an invasive procedure.
Gastric Cancer
Gastric Cancer Gastric cancer is one of the most common and aggressive solid tumors worldwide and has its highest incidence and mortality rate in Eastern Asia . Approximately 20%–40% of patients who receive standard treatment develop recurrent disease. Based on the gene expression profile of gastric cancer, there are four molecular subtypes: EpsteinBarr virus-positive, microsatellite unstable, chromosomal instability (CIN), and genomically stable . Previous studies have shown that the CIN subtype of gastric cancer has a distinct prognosis. For example, Sohn et al. found that patients with the CIN subtype obtained the greatest benefit from adjuvant chemotherapy . CT is regarded as the routine preoperative evaluation modality. Furthermore, Lai et al. investigated the relationship between CT imaging features and CIN status and found that an acute tumor transition angle was the most accurate imaging feature of the CIN subtype of gastric cancer, which provides additional prognosis-related information.
Lung Cancer
Lung Cancer Lung cancer is another common cancer with a high mortality rate and accounts for 13% of all newly diagnosed cancers . Histologically, lung cancer can be divided into non-small cell lung cancer (NSCLC) and small cell lung cancer (SCLC). Nearly 85% of patients with lung cancer have NSCLC . NSCLC is a group of distinct diseases with genetic and cellular heterogeneity due to different mutations in oncogenic signaling pathways. Conventional imaging methods include radiography and CT, which can provide valuable information for diagnosis, clinical staging, and treatment decisions. Invasive biopsy plays a central role in the pathological diagnosis; however, only a small portion of tissue is generally obtained and cannot completely reflect the properties of the whole tumor. Therefore, radiogenomics mapping is being increasingly used to solve the growing demand for prognostic image-based biomarkers.
Ovarian Cancer
Ovarian Cancer Ovarian cancer is the deadliest malignancy of the female genital tract and has five major histopathological subtypes. Ninety percent of ovarian cancers are high-grade serous ovarian cancer (HGSOC), which has the least favorable prognosis. Previous studies have demonstrated the genomic complexity and heterogeneity of ovarian cancer. Genetic heterogeneity, including copy number variant, transcriptome analysis, and methylation array, has been discovered in HGSOC, which may explain its drug resistance and open up new avenues for targeted molecular-based treatment. CT is an indispensable imaging examination for patients with HGSOC and can allow staging evaluation for preoperative planning and determination of surgical resectability. Several studies have shown that the CT features can predict critical molecular alteration events in HGSOC, which may have substantial prognostic and therapeutic implications at the time of diagnosis .
Prostate Cancer
Prostate Cancer Prostate cancer is the most prevalent malignancy in men in the United States. An epidemiological investigation in 2015 showed that 1.6 million men were diagnosed with prostate cancer and that there had been a 66% increase in its incidence over the previous decade. Currently, the National Comprehensive Cancer Network risk stratification system, which is mainly based on pathological grading from a biopsy sample, prostate serum antigen levels, and T staging, is widely used . Even though its prognostic precision has been reproduced in various settings, numerous studies have shown that the impact of adverse pathology is unavoidably underestimated in about 38%–46% of patients, partly because of the spatial heterogeneity in tumor growth patterns. Imaging examination can overcome the sampling bias resulting from prostate biopsy; therefore, the properties of the entire tumor can be assessed using a noninvasive platform. Multiparametric MRI is the most accurate imaging modality for detection and localization of prostate cancer lesions and provides both functional tissue information and anatomical information. Stoyanova et al. first identified a significant association between quantitative multiparametric MRI features and gene expression in multiparametric MRI-guided biopsy samples. The identified gene clusters related to radiomic features were used for gene ontology analysis and were correlated with distinct biological processes, including immune response, metabolism, cell, and biological adhesion.
Head and Neck Squamous Cell Cancer
Head and Neck Squamous Cell Cancer Head and neck squamous cell carcinoma (HNSCC) is the sixth most common cancer worldwide (. The Cancer Genome Atlas (TCGA) has revealed that human papillomavirus-associated tumors are accompanied by PIK3CA mutations, loss of TRAF3, and amplification of E2F1, whereas smoking-related HNSCCs exhibit a higher frequency of TP53 mutations and CDKN2A copy number alterations. Furthermore, mutations of the chromatin modifier NSD1 and the Wnt pathway genes AJUBA and FAT1 were also detected in a subgroup of HNSCCs . Zwirner et al. followed a hypothesis-driven approach for finding associations between radiomic heterogeneity and genetic aberrations and found that FAT1 somatic mutations were associated with reduced radiomic measures of tumor heterogeneity, possibly clarifying the reason for the previously described better prognosis of patients with human papillomavirus-negative, FAT1-mutated HNSCC.
</v>
      </c>
      <c r="C56" s="798"/>
      <c r="D56" s="798"/>
      <c r="E56" s="798"/>
      <c r="F56" s="798"/>
      <c r="G56" s="798"/>
      <c r="H56" s="798"/>
      <c r="I56" s="798"/>
      <c r="J56" s="798"/>
      <c r="K56" s="798"/>
      <c r="L56" s="119"/>
    </row>
    <row r="57" spans="2:12">
      <c r="B57" s="798"/>
      <c r="C57" s="798"/>
      <c r="D57" s="798"/>
      <c r="E57" s="798"/>
      <c r="F57" s="798"/>
      <c r="G57" s="798"/>
      <c r="H57" s="798"/>
      <c r="I57" s="798"/>
      <c r="J57" s="798"/>
      <c r="K57" s="798"/>
      <c r="L57" s="119"/>
    </row>
    <row r="58" spans="2:12">
      <c r="B58" s="798"/>
      <c r="C58" s="798"/>
      <c r="D58" s="798"/>
      <c r="E58" s="798"/>
      <c r="F58" s="798"/>
      <c r="G58" s="798"/>
      <c r="H58" s="798"/>
      <c r="I58" s="798"/>
      <c r="J58" s="798"/>
      <c r="K58" s="798"/>
      <c r="L58" s="119"/>
    </row>
    <row r="59" spans="2:12">
      <c r="B59" s="798"/>
      <c r="C59" s="798"/>
      <c r="D59" s="798"/>
      <c r="E59" s="798"/>
      <c r="F59" s="798"/>
      <c r="G59" s="798"/>
      <c r="H59" s="798"/>
      <c r="I59" s="798"/>
      <c r="J59" s="798"/>
      <c r="K59" s="798"/>
      <c r="L59" s="119"/>
    </row>
    <row r="60" spans="2:12">
      <c r="B60" s="798"/>
      <c r="C60" s="798"/>
      <c r="D60" s="798"/>
      <c r="E60" s="798"/>
      <c r="F60" s="798"/>
      <c r="G60" s="798"/>
      <c r="H60" s="798"/>
      <c r="I60" s="798"/>
      <c r="J60" s="798"/>
      <c r="K60" s="798"/>
      <c r="L60" s="119"/>
    </row>
    <row r="61" spans="2:12">
      <c r="B61" s="798"/>
      <c r="C61" s="798"/>
      <c r="D61" s="798"/>
      <c r="E61" s="798"/>
      <c r="F61" s="798"/>
      <c r="G61" s="798"/>
      <c r="H61" s="798"/>
      <c r="I61" s="798"/>
      <c r="J61" s="798"/>
      <c r="K61" s="798"/>
      <c r="L61" s="119"/>
    </row>
    <row r="62" spans="2:12">
      <c r="B62" s="797" t="str">
        <f>CONCATENATE(CAM!B175,":")</f>
        <v>Transaction Rationale:</v>
      </c>
      <c r="C62" s="797"/>
      <c r="D62" s="797"/>
      <c r="E62" s="797"/>
      <c r="F62" s="797"/>
      <c r="G62" s="797"/>
      <c r="H62" s="797"/>
      <c r="I62" s="797"/>
      <c r="J62" s="797"/>
      <c r="K62" s="797"/>
      <c r="L62" s="119"/>
    </row>
    <row r="63" spans="2:12" ht="30.2" customHeight="1">
      <c r="B63" s="798" t="str">
        <f>CAM!B176</f>
        <v>Good Experience of Doctor -15+ Years.</v>
      </c>
      <c r="C63" s="798"/>
      <c r="D63" s="798"/>
      <c r="E63" s="798"/>
      <c r="F63" s="798"/>
      <c r="G63" s="798"/>
      <c r="H63" s="798"/>
      <c r="I63" s="798"/>
      <c r="J63" s="798"/>
      <c r="K63" s="798"/>
      <c r="L63" s="119"/>
    </row>
    <row r="64" spans="2:12" ht="30.2" customHeight="1">
      <c r="B64" s="798" t="str">
        <f>CAM!B177</f>
        <v>It’s a start Up hospital. They have invested more than 1.8 Cr in the hospital. Infrastructure is good.</v>
      </c>
      <c r="C64" s="798"/>
      <c r="D64" s="798"/>
      <c r="E64" s="798"/>
      <c r="F64" s="798"/>
      <c r="G64" s="798"/>
      <c r="H64" s="798"/>
      <c r="I64" s="798"/>
      <c r="J64" s="798"/>
      <c r="K64" s="798"/>
      <c r="L64" s="119"/>
    </row>
    <row r="65" spans="2:12" ht="30.2" customHeight="1">
      <c r="B65" s="798" t="str">
        <f>CAM!B178</f>
        <v>Decent patient footfall</v>
      </c>
      <c r="C65" s="798"/>
      <c r="D65" s="798"/>
      <c r="E65" s="798"/>
      <c r="F65" s="798"/>
      <c r="G65" s="798"/>
      <c r="H65" s="798"/>
      <c r="I65" s="798"/>
      <c r="J65" s="798"/>
      <c r="K65" s="798"/>
      <c r="L65" s="119"/>
    </row>
    <row r="66" spans="2:12" ht="30.2" customHeight="1">
      <c r="B66" s="798">
        <f>CAM!B179</f>
        <v>0</v>
      </c>
      <c r="C66" s="798"/>
      <c r="D66" s="798"/>
      <c r="E66" s="798"/>
      <c r="F66" s="798"/>
      <c r="G66" s="798"/>
      <c r="H66" s="798"/>
      <c r="I66" s="798"/>
      <c r="J66" s="798"/>
      <c r="K66" s="798"/>
      <c r="L66" s="119"/>
    </row>
    <row r="67" spans="2:12" ht="30.2" customHeight="1">
      <c r="B67" s="798">
        <f>CAM!B180</f>
        <v>0</v>
      </c>
      <c r="C67" s="798"/>
      <c r="D67" s="798"/>
      <c r="E67" s="798"/>
      <c r="F67" s="798"/>
      <c r="G67" s="798"/>
      <c r="H67" s="798"/>
      <c r="I67" s="798"/>
      <c r="J67" s="798"/>
      <c r="K67" s="798"/>
      <c r="L67" s="119"/>
    </row>
    <row r="68" spans="2:12" ht="30.2" customHeight="1">
      <c r="B68" s="798">
        <f>CAM!B181</f>
        <v>0</v>
      </c>
      <c r="C68" s="798"/>
      <c r="D68" s="798"/>
      <c r="E68" s="798"/>
      <c r="F68" s="798"/>
      <c r="G68" s="798"/>
      <c r="H68" s="798"/>
      <c r="I68" s="798"/>
      <c r="J68" s="798"/>
      <c r="K68" s="798"/>
      <c r="L68" s="119"/>
    </row>
    <row r="69" spans="2:12" ht="30.2" customHeight="1">
      <c r="B69" s="798">
        <f>CAM!B182</f>
        <v>0</v>
      </c>
      <c r="C69" s="798"/>
      <c r="D69" s="798"/>
      <c r="E69" s="798"/>
      <c r="F69" s="798"/>
      <c r="G69" s="798"/>
      <c r="H69" s="798"/>
      <c r="I69" s="798"/>
      <c r="J69" s="798"/>
      <c r="K69" s="798"/>
      <c r="L69" s="119"/>
    </row>
    <row r="70" spans="2:12" ht="30.2" customHeight="1">
      <c r="B70" s="798">
        <f>CAM!B183</f>
        <v>0</v>
      </c>
      <c r="C70" s="798"/>
      <c r="D70" s="798"/>
      <c r="E70" s="798"/>
      <c r="F70" s="798"/>
      <c r="G70" s="798"/>
      <c r="H70" s="798"/>
      <c r="I70" s="798"/>
      <c r="J70" s="798"/>
      <c r="K70" s="798"/>
      <c r="L70" s="119"/>
    </row>
    <row r="71" spans="2:12" ht="30.2" customHeight="1">
      <c r="B71" s="798">
        <f>CAM!B184</f>
        <v>0</v>
      </c>
      <c r="C71" s="798"/>
      <c r="D71" s="798"/>
      <c r="E71" s="798"/>
      <c r="F71" s="798"/>
      <c r="G71" s="798"/>
      <c r="H71" s="798"/>
      <c r="I71" s="798"/>
      <c r="J71" s="798"/>
      <c r="K71" s="798"/>
      <c r="L71" s="119"/>
    </row>
    <row r="72" spans="2:12" ht="30.2" customHeight="1">
      <c r="B72" s="798">
        <f>CAM!B185</f>
        <v>0</v>
      </c>
      <c r="C72" s="798"/>
      <c r="D72" s="798"/>
      <c r="E72" s="798"/>
      <c r="F72" s="798"/>
      <c r="G72" s="798"/>
      <c r="H72" s="798"/>
      <c r="I72" s="798"/>
      <c r="J72" s="798"/>
      <c r="K72" s="798"/>
      <c r="L72" s="119"/>
    </row>
    <row r="73" spans="2:12">
      <c r="B73" s="118"/>
      <c r="C73" s="118"/>
      <c r="D73" s="118"/>
      <c r="E73" s="118"/>
      <c r="F73" s="118"/>
      <c r="G73" s="118"/>
      <c r="H73" s="118"/>
      <c r="I73" s="118"/>
      <c r="J73" s="118"/>
      <c r="K73" s="118"/>
      <c r="L73" s="119"/>
    </row>
    <row r="74" spans="2:12">
      <c r="B74" s="795" t="s">
        <v>1526</v>
      </c>
      <c r="C74" s="795"/>
      <c r="D74" s="795"/>
      <c r="E74" s="795"/>
      <c r="F74" s="795"/>
      <c r="G74" s="795"/>
      <c r="H74" s="795"/>
      <c r="I74" s="795"/>
      <c r="J74" s="795"/>
      <c r="K74" s="795"/>
      <c r="L74" s="119"/>
    </row>
    <row r="75" spans="2:12">
      <c r="B75" s="796" t="e">
        <f>CONCATENATE("NACH / PDC taken from ",Banking!C16," bearing Account No:",Banking!F16," having ISFC Code: ",Banking!#REF!)</f>
        <v>#REF!</v>
      </c>
      <c r="C75" s="796"/>
      <c r="D75" s="796"/>
      <c r="E75" s="796"/>
      <c r="F75" s="796"/>
      <c r="G75" s="796"/>
      <c r="H75" s="796"/>
      <c r="I75" s="796"/>
      <c r="J75" s="118"/>
      <c r="K75" s="118"/>
      <c r="L75" s="119"/>
    </row>
    <row r="76" spans="2:12">
      <c r="B76" s="796"/>
      <c r="C76" s="796"/>
      <c r="D76" s="796"/>
      <c r="E76" s="796"/>
      <c r="F76" s="796"/>
      <c r="G76" s="796"/>
      <c r="H76" s="796"/>
      <c r="I76" s="796"/>
      <c r="J76" s="118"/>
      <c r="K76" s="118"/>
      <c r="L76" s="119"/>
    </row>
    <row r="77" spans="2:12">
      <c r="B77" s="118"/>
      <c r="C77" s="118"/>
      <c r="D77" s="118"/>
      <c r="E77" s="118"/>
      <c r="F77" s="118"/>
      <c r="G77" s="118"/>
      <c r="H77" s="118"/>
      <c r="I77" s="118"/>
      <c r="J77" s="118"/>
      <c r="K77" s="118"/>
      <c r="L77" s="119"/>
    </row>
    <row r="78" spans="2:12">
      <c r="B78" s="795" t="s">
        <v>1527</v>
      </c>
      <c r="C78" s="795"/>
      <c r="D78" s="795"/>
      <c r="E78" s="795"/>
      <c r="F78" s="795"/>
      <c r="G78" s="795"/>
      <c r="H78" s="795"/>
      <c r="I78" s="795"/>
      <c r="J78" s="795"/>
      <c r="K78" s="795"/>
      <c r="L78" s="119"/>
    </row>
    <row r="79" spans="2:12">
      <c r="B79" s="788" t="s">
        <v>1564</v>
      </c>
      <c r="C79" s="788"/>
      <c r="D79" s="788"/>
      <c r="E79" s="788"/>
      <c r="F79" s="788"/>
      <c r="G79" s="788"/>
      <c r="H79" s="788"/>
      <c r="I79" s="788"/>
      <c r="J79" s="118"/>
      <c r="K79" s="118"/>
      <c r="L79" s="119"/>
    </row>
    <row r="80" spans="2:12">
      <c r="B80" s="788"/>
      <c r="C80" s="788"/>
      <c r="D80" s="788"/>
      <c r="E80" s="788"/>
      <c r="F80" s="788"/>
      <c r="G80" s="788"/>
      <c r="H80" s="788"/>
      <c r="I80" s="788"/>
      <c r="J80" s="119"/>
      <c r="K80" s="119"/>
      <c r="L80" s="119"/>
    </row>
    <row r="81" spans="2:12">
      <c r="H81" s="119"/>
      <c r="I81" s="119"/>
      <c r="J81" s="119"/>
      <c r="K81" s="119"/>
      <c r="L81" s="119"/>
    </row>
    <row r="82" spans="2:12">
      <c r="B82" s="795" t="s">
        <v>1567</v>
      </c>
      <c r="C82" s="795"/>
      <c r="D82" s="795"/>
      <c r="E82" s="795"/>
      <c r="F82" s="778" t="s">
        <v>1755</v>
      </c>
      <c r="G82" s="778"/>
      <c r="H82" s="778"/>
      <c r="I82" s="778"/>
      <c r="J82" s="119"/>
      <c r="K82" s="119"/>
      <c r="L82" s="119"/>
    </row>
    <row r="84" spans="2:12">
      <c r="B84" s="795" t="s">
        <v>1566</v>
      </c>
      <c r="C84" s="795"/>
      <c r="D84" s="795"/>
      <c r="E84" s="795"/>
      <c r="F84" s="795"/>
      <c r="G84" s="795"/>
      <c r="H84" s="795"/>
      <c r="I84" s="793" t="s">
        <v>1757</v>
      </c>
      <c r="J84" s="793"/>
    </row>
    <row r="88" spans="2:12">
      <c r="B88" s="790" t="s">
        <v>1528</v>
      </c>
      <c r="C88" s="790"/>
      <c r="D88" s="790" t="s">
        <v>1529</v>
      </c>
      <c r="E88" s="790"/>
      <c r="F88" s="790"/>
      <c r="G88" s="790">
        <f>CAM!T6</f>
        <v>0</v>
      </c>
      <c r="H88" s="790"/>
      <c r="I88" s="113" t="s">
        <v>1530</v>
      </c>
      <c r="J88" s="794">
        <f>CAM!G228</f>
        <v>0</v>
      </c>
      <c r="K88" s="794"/>
    </row>
    <row r="92" spans="2:12">
      <c r="E92" s="120"/>
      <c r="F92" s="120"/>
      <c r="G92" s="120"/>
    </row>
  </sheetData>
  <sheetProtection algorithmName="SHA-512" hashValue="FfIte8Jb5tWTO+XG8HoAEh9pI0M1nzxIY7iNPuWchTclZDoQ48A6C+MQZknSM0TfjdtYpNnTC/sDpXTd5CAi/A==" saltValue="Ex+g+eeH8XOvj4g3vkIANg==" spinCount="100000" sheet="1" objects="1" scenarios="1"/>
  <mergeCells count="90">
    <mergeCell ref="D88:F88"/>
    <mergeCell ref="D3:I3"/>
    <mergeCell ref="D2:I2"/>
    <mergeCell ref="B5:D5"/>
    <mergeCell ref="B6:D6"/>
    <mergeCell ref="B7:D7"/>
    <mergeCell ref="E6:I6"/>
    <mergeCell ref="E5:I5"/>
    <mergeCell ref="B29:E29"/>
    <mergeCell ref="B30:E30"/>
    <mergeCell ref="B19:I19"/>
    <mergeCell ref="B20:I20"/>
    <mergeCell ref="G29:H29"/>
    <mergeCell ref="I29:K29"/>
    <mergeCell ref="B22:K22"/>
    <mergeCell ref="B23:I23"/>
    <mergeCell ref="J5:K5"/>
    <mergeCell ref="J6:K6"/>
    <mergeCell ref="E7:I7"/>
    <mergeCell ref="B16:K17"/>
    <mergeCell ref="B18:I18"/>
    <mergeCell ref="B8:D8"/>
    <mergeCell ref="E8:I8"/>
    <mergeCell ref="B9:D9"/>
    <mergeCell ref="E9:I9"/>
    <mergeCell ref="B10:D10"/>
    <mergeCell ref="E10:F10"/>
    <mergeCell ref="B13:K14"/>
    <mergeCell ref="B24:I24"/>
    <mergeCell ref="B25:I25"/>
    <mergeCell ref="B27:K27"/>
    <mergeCell ref="G31:H31"/>
    <mergeCell ref="I31:K31"/>
    <mergeCell ref="B31:E31"/>
    <mergeCell ref="I32:K32"/>
    <mergeCell ref="G30:H30"/>
    <mergeCell ref="I30:K30"/>
    <mergeCell ref="G36:H36"/>
    <mergeCell ref="I36:K36"/>
    <mergeCell ref="G33:H33"/>
    <mergeCell ref="I33:K33"/>
    <mergeCell ref="G34:H34"/>
    <mergeCell ref="I34:K34"/>
    <mergeCell ref="B32:E32"/>
    <mergeCell ref="B33:E33"/>
    <mergeCell ref="B42:I42"/>
    <mergeCell ref="B43:I43"/>
    <mergeCell ref="B34:E34"/>
    <mergeCell ref="B35:E35"/>
    <mergeCell ref="B36:E36"/>
    <mergeCell ref="B37:E37"/>
    <mergeCell ref="B38:E38"/>
    <mergeCell ref="G37:H37"/>
    <mergeCell ref="I37:K37"/>
    <mergeCell ref="G38:H38"/>
    <mergeCell ref="I38:K38"/>
    <mergeCell ref="G35:H35"/>
    <mergeCell ref="I35:K35"/>
    <mergeCell ref="G32:H32"/>
    <mergeCell ref="B44:I44"/>
    <mergeCell ref="B53:K54"/>
    <mergeCell ref="G39:H39"/>
    <mergeCell ref="I39:K39"/>
    <mergeCell ref="B39:E39"/>
    <mergeCell ref="B68:K68"/>
    <mergeCell ref="B69:K69"/>
    <mergeCell ref="B70:K70"/>
    <mergeCell ref="B71:K71"/>
    <mergeCell ref="B72:K72"/>
    <mergeCell ref="B63:K63"/>
    <mergeCell ref="B64:K64"/>
    <mergeCell ref="B65:K65"/>
    <mergeCell ref="B66:K66"/>
    <mergeCell ref="B67:K67"/>
    <mergeCell ref="I84:J84"/>
    <mergeCell ref="J88:K88"/>
    <mergeCell ref="B88:C88"/>
    <mergeCell ref="G88:H88"/>
    <mergeCell ref="B41:K41"/>
    <mergeCell ref="B74:K74"/>
    <mergeCell ref="B78:K78"/>
    <mergeCell ref="B84:H84"/>
    <mergeCell ref="B75:I76"/>
    <mergeCell ref="B79:I79"/>
    <mergeCell ref="B80:I80"/>
    <mergeCell ref="F82:I82"/>
    <mergeCell ref="B82:E82"/>
    <mergeCell ref="B55:K55"/>
    <mergeCell ref="B56:K61"/>
    <mergeCell ref="B62:K62"/>
  </mergeCells>
  <dataValidations count="3">
    <dataValidation type="list" allowBlank="1" showInputMessage="1" showErrorMessage="1" sqref="E10:F10">
      <formula1>"Low, Medium, High"</formula1>
    </dataValidation>
    <dataValidation type="list" allowBlank="1" showInputMessage="1" showErrorMessage="1" sqref="E7">
      <formula1>"Healthcare Equipment Loan, Equipment Finance"</formula1>
    </dataValidation>
    <dataValidation type="list" allowBlank="1" showInputMessage="1" showErrorMessage="1" sqref="I84:J84">
      <formula1>"Positive, Negative, Not Required"</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Workings!$P$2:$P$15</xm:f>
          </x14:formula1>
          <xm:sqref>B18:B20</xm:sqref>
        </x14:dataValidation>
        <x14:dataValidation type="list" allowBlank="1" showInputMessage="1" showErrorMessage="1">
          <x14:formula1>
            <xm:f>Workings!$Q$2:$Q$5</xm:f>
          </x14:formula1>
          <xm:sqref>B23:I25 B42:I44</xm:sqref>
        </x14:dataValidation>
        <x14:dataValidation type="list" allowBlank="1" showInputMessage="1" showErrorMessage="1">
          <x14:formula1>
            <xm:f>Workings!$Q$8:$Q$10</xm:f>
          </x14:formula1>
          <xm:sqref>B79:I80</xm:sqref>
        </x14:dataValidation>
        <x14:dataValidation type="list" allowBlank="1" showInputMessage="1" showErrorMessage="1">
          <x14:formula1>
            <xm:f>CAM!$D$18:$D$27</xm:f>
          </x14:formula1>
          <xm:sqref>F82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D1" workbookViewId="0">
      <selection activeCell="F9" sqref="F9"/>
    </sheetView>
  </sheetViews>
  <sheetFormatPr defaultRowHeight="15"/>
  <cols>
    <col min="1" max="1" width="34.140625" bestFit="1" customWidth="1"/>
    <col min="2" max="2" width="92.85546875" bestFit="1" customWidth="1"/>
    <col min="3" max="3" width="49" customWidth="1"/>
    <col min="4" max="4" width="11.7109375" customWidth="1"/>
    <col min="5" max="5" width="92.85546875" bestFit="1" customWidth="1"/>
    <col min="6" max="6" width="24.85546875" bestFit="1" customWidth="1"/>
    <col min="7" max="7" width="21.85546875" customWidth="1"/>
    <col min="8" max="8" width="72.7109375" bestFit="1" customWidth="1"/>
    <col min="9" max="9" width="34.5703125" customWidth="1"/>
    <col min="10" max="10" width="21.7109375" bestFit="1" customWidth="1"/>
    <col min="11" max="11" width="21.7109375" style="238" customWidth="1"/>
    <col min="12" max="12" width="58.85546875" style="238" bestFit="1" customWidth="1"/>
    <col min="13" max="13" width="40.28515625" customWidth="1"/>
  </cols>
  <sheetData>
    <row r="1" spans="1:13">
      <c r="E1" s="128" t="s">
        <v>1613</v>
      </c>
      <c r="F1" s="125" t="s">
        <v>1614</v>
      </c>
      <c r="G1" s="125" t="s">
        <v>1617</v>
      </c>
      <c r="H1" s="125" t="s">
        <v>1620</v>
      </c>
      <c r="I1" s="125" t="s">
        <v>1629</v>
      </c>
      <c r="J1" s="125" t="s">
        <v>1626</v>
      </c>
      <c r="K1" s="258" t="s">
        <v>1714</v>
      </c>
      <c r="L1" s="258" t="s">
        <v>299</v>
      </c>
      <c r="M1" s="127" t="s">
        <v>1628</v>
      </c>
    </row>
    <row r="2" spans="1:13">
      <c r="A2" s="306" t="s">
        <v>1607</v>
      </c>
      <c r="B2" s="306" t="s">
        <v>1608</v>
      </c>
      <c r="C2" s="306" t="s">
        <v>1609</v>
      </c>
      <c r="D2" s="125"/>
      <c r="E2" s="126" t="s">
        <v>1794</v>
      </c>
      <c r="F2" s="125" t="s">
        <v>1615</v>
      </c>
      <c r="G2" s="125" t="s">
        <v>1618</v>
      </c>
      <c r="H2" s="125" t="s">
        <v>1621</v>
      </c>
      <c r="I2" s="125" t="s">
        <v>1629</v>
      </c>
      <c r="J2" s="125" t="s">
        <v>1627</v>
      </c>
      <c r="K2" s="125" t="s">
        <v>1715</v>
      </c>
      <c r="L2" s="125" t="s">
        <v>1717</v>
      </c>
      <c r="M2" s="129" t="s">
        <v>1792</v>
      </c>
    </row>
    <row r="3" spans="1:13">
      <c r="A3" s="306" t="s">
        <v>1613</v>
      </c>
      <c r="B3" s="126" t="s">
        <v>1794</v>
      </c>
      <c r="C3" s="306" t="s">
        <v>1622</v>
      </c>
      <c r="D3" s="125"/>
      <c r="E3" s="126" t="s">
        <v>1795</v>
      </c>
      <c r="F3" s="125" t="s">
        <v>1616</v>
      </c>
      <c r="G3" s="125" t="s">
        <v>1619</v>
      </c>
      <c r="H3" s="125" t="s">
        <v>1623</v>
      </c>
      <c r="K3" s="125" t="s">
        <v>1716</v>
      </c>
      <c r="L3" s="125" t="s">
        <v>1721</v>
      </c>
      <c r="M3" s="129" t="s">
        <v>1793</v>
      </c>
    </row>
    <row r="4" spans="1:13">
      <c r="A4" s="306" t="s">
        <v>1613</v>
      </c>
      <c r="B4" s="126" t="s">
        <v>1795</v>
      </c>
      <c r="C4" s="306" t="s">
        <v>1611</v>
      </c>
      <c r="D4" s="125"/>
      <c r="E4" s="126" t="s">
        <v>1796</v>
      </c>
      <c r="L4" s="238" t="s">
        <v>1718</v>
      </c>
      <c r="M4" s="129" t="s">
        <v>1780</v>
      </c>
    </row>
    <row r="5" spans="1:13">
      <c r="A5" s="306" t="s">
        <v>1613</v>
      </c>
      <c r="B5" s="126" t="s">
        <v>1796</v>
      </c>
      <c r="C5" s="306" t="s">
        <v>1622</v>
      </c>
      <c r="D5" s="125"/>
      <c r="E5" s="126" t="s">
        <v>1797</v>
      </c>
      <c r="L5" s="238" t="s">
        <v>1719</v>
      </c>
      <c r="M5" s="319"/>
    </row>
    <row r="6" spans="1:13">
      <c r="A6" s="306" t="s">
        <v>1613</v>
      </c>
      <c r="B6" s="126" t="s">
        <v>1797</v>
      </c>
      <c r="C6" s="306" t="s">
        <v>1611</v>
      </c>
      <c r="D6" s="125"/>
      <c r="E6" s="306" t="s">
        <v>1798</v>
      </c>
      <c r="L6" s="238" t="s">
        <v>1720</v>
      </c>
    </row>
    <row r="7" spans="1:13">
      <c r="A7" s="306" t="s">
        <v>1613</v>
      </c>
      <c r="B7" s="306" t="s">
        <v>1798</v>
      </c>
      <c r="C7" s="306" t="s">
        <v>1622</v>
      </c>
      <c r="D7" s="125"/>
      <c r="E7" s="306" t="s">
        <v>1799</v>
      </c>
    </row>
    <row r="8" spans="1:13">
      <c r="A8" s="306" t="s">
        <v>1613</v>
      </c>
      <c r="B8" s="306" t="s">
        <v>1799</v>
      </c>
      <c r="C8" s="306" t="s">
        <v>1611</v>
      </c>
      <c r="D8" s="125"/>
      <c r="E8" s="306" t="s">
        <v>1800</v>
      </c>
    </row>
    <row r="9" spans="1:13">
      <c r="A9" s="306" t="s">
        <v>1613</v>
      </c>
      <c r="B9" s="306" t="s">
        <v>1800</v>
      </c>
      <c r="C9" s="306" t="s">
        <v>1611</v>
      </c>
      <c r="D9" s="113"/>
    </row>
    <row r="10" spans="1:13">
      <c r="A10" s="306" t="s">
        <v>1614</v>
      </c>
      <c r="B10" s="306" t="s">
        <v>1615</v>
      </c>
      <c r="C10" s="306" t="s">
        <v>1611</v>
      </c>
      <c r="D10" s="113"/>
    </row>
    <row r="11" spans="1:13">
      <c r="A11" s="306" t="s">
        <v>1614</v>
      </c>
      <c r="B11" s="306" t="s">
        <v>1616</v>
      </c>
      <c r="C11" s="306" t="s">
        <v>1801</v>
      </c>
      <c r="D11" s="113"/>
    </row>
    <row r="12" spans="1:13">
      <c r="A12" s="306" t="s">
        <v>1617</v>
      </c>
      <c r="B12" s="306" t="s">
        <v>1618</v>
      </c>
      <c r="C12" s="306" t="s">
        <v>1610</v>
      </c>
      <c r="D12" s="113"/>
    </row>
    <row r="13" spans="1:13">
      <c r="A13" s="306" t="s">
        <v>1617</v>
      </c>
      <c r="B13" s="306" t="s">
        <v>1619</v>
      </c>
      <c r="C13" s="306" t="s">
        <v>1611</v>
      </c>
      <c r="D13" s="113"/>
    </row>
    <row r="14" spans="1:13">
      <c r="A14" s="306" t="s">
        <v>1620</v>
      </c>
      <c r="B14" s="306" t="s">
        <v>1621</v>
      </c>
      <c r="C14" s="306" t="s">
        <v>1622</v>
      </c>
      <c r="D14" s="113"/>
    </row>
    <row r="15" spans="1:13">
      <c r="A15" s="306" t="s">
        <v>1620</v>
      </c>
      <c r="B15" s="306" t="s">
        <v>1623</v>
      </c>
      <c r="C15" s="306" t="s">
        <v>1624</v>
      </c>
      <c r="D15" s="113"/>
    </row>
    <row r="16" spans="1:13">
      <c r="A16" s="306" t="s">
        <v>1629</v>
      </c>
      <c r="B16" s="306" t="s">
        <v>1629</v>
      </c>
      <c r="C16" s="126" t="s">
        <v>1625</v>
      </c>
      <c r="D16" s="124"/>
    </row>
    <row r="17" spans="1:4">
      <c r="A17" s="306" t="s">
        <v>1626</v>
      </c>
      <c r="B17" s="306" t="s">
        <v>1627</v>
      </c>
      <c r="C17" s="306" t="s">
        <v>1611</v>
      </c>
      <c r="D17" s="113"/>
    </row>
    <row r="18" spans="1:4" s="238" customFormat="1">
      <c r="A18" s="306" t="s">
        <v>1714</v>
      </c>
      <c r="B18" s="306" t="s">
        <v>1715</v>
      </c>
      <c r="C18" s="306" t="s">
        <v>1622</v>
      </c>
      <c r="D18" s="113"/>
    </row>
    <row r="19" spans="1:4" s="238" customFormat="1">
      <c r="A19" s="306" t="s">
        <v>1714</v>
      </c>
      <c r="B19" s="306" t="s">
        <v>1716</v>
      </c>
      <c r="C19" s="306" t="s">
        <v>1801</v>
      </c>
      <c r="D19" s="113"/>
    </row>
    <row r="20" spans="1:4" s="238" customFormat="1">
      <c r="A20" s="306" t="s">
        <v>299</v>
      </c>
      <c r="B20" s="306" t="s">
        <v>1717</v>
      </c>
      <c r="C20" s="306" t="s">
        <v>1622</v>
      </c>
      <c r="D20" s="113"/>
    </row>
    <row r="21" spans="1:4" s="238" customFormat="1">
      <c r="A21" s="306" t="s">
        <v>299</v>
      </c>
      <c r="B21" s="306" t="s">
        <v>1721</v>
      </c>
      <c r="C21" s="306" t="s">
        <v>1801</v>
      </c>
      <c r="D21" s="113"/>
    </row>
    <row r="22" spans="1:4" s="238" customFormat="1">
      <c r="A22" s="306" t="s">
        <v>299</v>
      </c>
      <c r="B22" s="306" t="s">
        <v>1718</v>
      </c>
      <c r="C22" s="306" t="s">
        <v>1611</v>
      </c>
      <c r="D22" s="113"/>
    </row>
    <row r="23" spans="1:4" s="238" customFormat="1">
      <c r="A23" s="306" t="s">
        <v>299</v>
      </c>
      <c r="B23" s="306" t="s">
        <v>1719</v>
      </c>
      <c r="C23" s="306" t="s">
        <v>1801</v>
      </c>
      <c r="D23" s="113"/>
    </row>
    <row r="24" spans="1:4" s="238" customFormat="1">
      <c r="A24" s="306" t="s">
        <v>299</v>
      </c>
      <c r="B24" s="306" t="s">
        <v>1720</v>
      </c>
      <c r="C24" s="306" t="s">
        <v>1612</v>
      </c>
      <c r="D24" s="113"/>
    </row>
    <row r="25" spans="1:4">
      <c r="A25" s="129" t="s">
        <v>1628</v>
      </c>
      <c r="B25" s="129" t="s">
        <v>1792</v>
      </c>
      <c r="C25" s="306" t="s">
        <v>1801</v>
      </c>
    </row>
    <row r="26" spans="1:4">
      <c r="A26" s="129" t="s">
        <v>1628</v>
      </c>
      <c r="B26" s="129" t="s">
        <v>1793</v>
      </c>
      <c r="C26" s="129" t="s">
        <v>1612</v>
      </c>
    </row>
    <row r="27" spans="1:4">
      <c r="A27" s="129" t="s">
        <v>1628</v>
      </c>
      <c r="B27" s="129" t="s">
        <v>1780</v>
      </c>
      <c r="C27" s="129" t="s">
        <v>1611</v>
      </c>
    </row>
  </sheetData>
  <pageMargins left="0.7" right="0.7" top="0.75" bottom="0.75" header="0.3" footer="0.3"/>
  <pageSetup paperSize="9" orientation="portrait" verticalDpi="0" r:id="rId1"/>
  <headerFooter>
    <oddFooter>&amp;C&amp;1#&amp;"Calibri"&amp;10&amp;K000000Clix Internal Circulation Only</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8"/>
  <sheetViews>
    <sheetView zoomScale="80" zoomScaleNormal="80" workbookViewId="0">
      <selection activeCell="C2" sqref="C2"/>
    </sheetView>
  </sheetViews>
  <sheetFormatPr defaultColWidth="9.140625" defaultRowHeight="15"/>
  <cols>
    <col min="1" max="16384" width="9.140625" style="238"/>
  </cols>
  <sheetData>
    <row r="2" spans="2:20">
      <c r="B2" s="463"/>
      <c r="C2" s="464"/>
      <c r="D2" s="464"/>
      <c r="E2" s="464"/>
      <c r="F2" s="464"/>
      <c r="G2" s="464"/>
      <c r="H2" s="464"/>
      <c r="I2" s="464"/>
      <c r="J2" s="464"/>
      <c r="K2" s="464"/>
      <c r="L2" s="464"/>
      <c r="M2" s="464"/>
      <c r="N2" s="464"/>
      <c r="O2" s="464"/>
    </row>
    <row r="3" spans="2:20">
      <c r="B3" s="463"/>
      <c r="C3" s="464"/>
      <c r="D3" s="464"/>
      <c r="E3" s="464"/>
      <c r="F3" s="464"/>
      <c r="G3" s="464"/>
      <c r="H3" s="464"/>
      <c r="I3" s="464"/>
      <c r="J3" s="464"/>
      <c r="K3" s="464"/>
      <c r="L3" s="464"/>
      <c r="M3" s="464"/>
      <c r="N3" s="464"/>
      <c r="O3" s="464"/>
    </row>
    <row r="4" spans="2:20">
      <c r="B4" s="463"/>
      <c r="C4" s="464"/>
      <c r="D4" s="464"/>
      <c r="E4" s="464"/>
      <c r="F4" s="464"/>
      <c r="G4" s="464"/>
      <c r="H4" s="464"/>
      <c r="I4" s="464"/>
      <c r="J4" s="464"/>
      <c r="K4" s="464"/>
      <c r="L4" s="464"/>
      <c r="M4" s="464"/>
      <c r="N4" s="464"/>
      <c r="O4" s="464"/>
    </row>
    <row r="5" spans="2:20">
      <c r="B5" s="463"/>
      <c r="C5" s="464"/>
      <c r="D5" s="464"/>
      <c r="E5" s="464"/>
      <c r="F5" s="464"/>
      <c r="G5" s="464"/>
      <c r="H5" s="464"/>
      <c r="I5" s="464"/>
      <c r="J5" s="464"/>
      <c r="K5" s="464"/>
      <c r="L5" s="464"/>
      <c r="M5" s="464"/>
      <c r="N5" s="464"/>
      <c r="O5" s="464"/>
    </row>
    <row r="6" spans="2:20">
      <c r="B6" s="463"/>
      <c r="C6" s="464"/>
      <c r="D6" s="464"/>
      <c r="E6" s="464"/>
      <c r="F6" s="464"/>
      <c r="G6" s="464"/>
      <c r="H6" s="464"/>
      <c r="I6" s="464"/>
      <c r="J6" s="464"/>
      <c r="K6" s="464"/>
      <c r="L6" s="464"/>
      <c r="M6" s="464"/>
      <c r="N6" s="464"/>
      <c r="O6" s="464"/>
    </row>
    <row r="7" spans="2:20">
      <c r="B7" s="463"/>
      <c r="C7" s="464"/>
      <c r="D7" s="464"/>
      <c r="E7" s="464"/>
      <c r="F7" s="464"/>
      <c r="G7" s="464"/>
      <c r="H7" s="464"/>
      <c r="I7" s="464"/>
      <c r="J7" s="464"/>
      <c r="K7" s="464"/>
      <c r="L7" s="464"/>
      <c r="M7" s="464"/>
      <c r="N7" s="464"/>
      <c r="O7" s="464"/>
    </row>
    <row r="8" spans="2:20">
      <c r="B8" s="463"/>
      <c r="C8" s="464"/>
      <c r="D8" s="464"/>
      <c r="E8" s="464"/>
      <c r="F8" s="464"/>
      <c r="G8" s="464"/>
      <c r="H8" s="464"/>
      <c r="I8" s="464"/>
      <c r="J8" s="464"/>
      <c r="K8" s="464"/>
      <c r="L8" s="464"/>
      <c r="M8" s="464"/>
      <c r="N8" s="464"/>
      <c r="O8" s="464"/>
    </row>
    <row r="9" spans="2:20">
      <c r="B9" s="463"/>
      <c r="C9" s="464"/>
      <c r="D9" s="464"/>
      <c r="E9" s="464"/>
      <c r="F9" s="464"/>
      <c r="G9" s="464"/>
      <c r="H9" s="464"/>
      <c r="I9" s="464"/>
      <c r="J9" s="464"/>
      <c r="K9" s="464"/>
      <c r="L9" s="464"/>
      <c r="M9" s="464"/>
      <c r="N9" s="464"/>
      <c r="O9" s="464"/>
    </row>
    <row r="10" spans="2:20">
      <c r="B10" s="463"/>
      <c r="C10" s="464"/>
      <c r="D10" s="464"/>
      <c r="E10" s="464"/>
      <c r="F10" s="464"/>
      <c r="G10" s="464"/>
      <c r="H10" s="464"/>
      <c r="I10" s="464"/>
      <c r="J10" s="464"/>
      <c r="K10" s="464"/>
      <c r="L10" s="464"/>
      <c r="M10" s="464"/>
      <c r="N10" s="464"/>
      <c r="O10" s="464"/>
    </row>
    <row r="11" spans="2:20">
      <c r="B11" s="463"/>
      <c r="C11" s="464"/>
      <c r="D11" s="464"/>
      <c r="E11" s="464"/>
      <c r="F11" s="464"/>
      <c r="G11" s="464"/>
      <c r="H11" s="464"/>
      <c r="I11" s="464"/>
      <c r="J11" s="464"/>
      <c r="K11" s="464"/>
      <c r="L11" s="464"/>
      <c r="M11" s="464"/>
      <c r="N11" s="464"/>
      <c r="O11" s="464"/>
    </row>
    <row r="12" spans="2:20">
      <c r="B12" s="463"/>
      <c r="C12" s="464"/>
      <c r="D12" s="464"/>
      <c r="E12" s="464"/>
      <c r="F12" s="464"/>
      <c r="G12" s="464"/>
      <c r="H12" s="464"/>
      <c r="I12" s="464"/>
      <c r="J12" s="464"/>
      <c r="K12" s="464"/>
      <c r="L12" s="464"/>
      <c r="M12" s="464"/>
      <c r="N12" s="464"/>
      <c r="O12" s="464"/>
    </row>
    <row r="13" spans="2:20">
      <c r="B13" s="463"/>
      <c r="C13" s="464"/>
      <c r="D13" s="464"/>
      <c r="E13" s="464"/>
      <c r="F13" s="464"/>
      <c r="G13" s="464"/>
      <c r="H13" s="464"/>
      <c r="I13" s="464"/>
      <c r="J13" s="464"/>
      <c r="K13" s="464"/>
      <c r="L13" s="464"/>
      <c r="M13" s="464"/>
      <c r="N13" s="464"/>
      <c r="O13" s="464"/>
    </row>
    <row r="14" spans="2:20">
      <c r="B14" s="463"/>
      <c r="C14" s="464"/>
      <c r="D14" s="464"/>
      <c r="E14" s="464"/>
      <c r="F14" s="464"/>
      <c r="G14" s="464"/>
      <c r="H14" s="464"/>
      <c r="I14" s="464"/>
      <c r="J14" s="464"/>
      <c r="K14" s="464"/>
      <c r="L14" s="464"/>
      <c r="M14" s="464"/>
      <c r="N14" s="464"/>
      <c r="O14" s="464"/>
    </row>
    <row r="15" spans="2:20">
      <c r="B15" s="464"/>
      <c r="C15" s="464"/>
      <c r="D15" s="464"/>
      <c r="E15" s="464"/>
      <c r="F15" s="464"/>
      <c r="G15" s="464"/>
      <c r="H15" s="464"/>
      <c r="I15" s="464"/>
      <c r="J15" s="464"/>
      <c r="K15" s="464"/>
      <c r="L15" s="464"/>
      <c r="M15" s="464"/>
      <c r="N15" s="464"/>
      <c r="O15" s="464"/>
    </row>
    <row r="16" spans="2:20">
      <c r="B16" s="464"/>
      <c r="C16" s="464"/>
      <c r="D16" s="464"/>
      <c r="E16" s="464"/>
      <c r="F16" s="464"/>
      <c r="G16" s="464"/>
      <c r="H16" s="464"/>
      <c r="I16" s="464"/>
      <c r="J16" s="464"/>
      <c r="K16" s="464"/>
      <c r="L16" s="464"/>
      <c r="M16" s="464"/>
      <c r="N16" s="464"/>
      <c r="O16" s="464"/>
      <c r="Q16" s="424"/>
      <c r="S16" s="424"/>
      <c r="T16" s="424"/>
    </row>
    <row r="17" spans="2:15">
      <c r="B17" s="464"/>
      <c r="C17" s="464"/>
      <c r="D17" s="464"/>
      <c r="E17" s="464"/>
      <c r="F17" s="464"/>
      <c r="G17" s="464"/>
      <c r="H17" s="464"/>
      <c r="I17" s="464"/>
      <c r="J17" s="464"/>
      <c r="K17" s="464"/>
      <c r="L17" s="464"/>
      <c r="M17" s="464"/>
      <c r="N17" s="464"/>
      <c r="O17" s="464"/>
    </row>
    <row r="18" spans="2:15">
      <c r="B18" s="464"/>
      <c r="C18" s="464"/>
      <c r="D18" s="464"/>
      <c r="E18" s="464"/>
      <c r="F18" s="464"/>
      <c r="G18" s="464"/>
      <c r="H18" s="464"/>
      <c r="I18" s="464"/>
      <c r="J18" s="464"/>
      <c r="K18" s="464"/>
      <c r="L18" s="464"/>
      <c r="M18" s="464"/>
      <c r="N18" s="464"/>
      <c r="O18" s="464"/>
    </row>
  </sheetData>
  <pageMargins left="0.7" right="0.7" top="0.75" bottom="0.75" header="0.3" footer="0.3"/>
  <pageSetup paperSize="9" orientation="portrait" horizontalDpi="4294967293" verticalDpi="0" r:id="rId1"/>
  <headerFooter>
    <oddFooter>&amp;C&amp;1#&amp;"Calibri"&amp;10&amp;K000000Clix Internal Circulation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workbookViewId="0">
      <selection activeCell="G12" sqref="G12"/>
    </sheetView>
  </sheetViews>
  <sheetFormatPr defaultRowHeight="15"/>
  <cols>
    <col min="2" max="2" width="21.7109375" bestFit="1" customWidth="1"/>
    <col min="4" max="4" width="12.140625" hidden="1" customWidth="1"/>
    <col min="5" max="5" width="12.140625" style="238" customWidth="1"/>
    <col min="6" max="6" width="12" bestFit="1" customWidth="1"/>
  </cols>
  <sheetData>
    <row r="2" spans="2:8">
      <c r="B2" s="438" t="s">
        <v>1387</v>
      </c>
      <c r="C2" s="438" t="s">
        <v>1840</v>
      </c>
      <c r="D2" s="438" t="s">
        <v>1842</v>
      </c>
      <c r="E2" s="438" t="s">
        <v>1843</v>
      </c>
      <c r="F2" s="438" t="s">
        <v>1841</v>
      </c>
      <c r="H2" s="440"/>
    </row>
    <row r="3" spans="2:8">
      <c r="B3" s="426" t="s">
        <v>1839</v>
      </c>
      <c r="C3" s="113">
        <v>1600</v>
      </c>
      <c r="D3" s="113"/>
      <c r="E3" s="113"/>
      <c r="F3" s="427"/>
    </row>
    <row r="4" spans="2:8">
      <c r="B4" s="426"/>
      <c r="C4" s="113"/>
      <c r="D4" s="113"/>
      <c r="E4" s="113"/>
      <c r="F4" s="427"/>
    </row>
    <row r="5" spans="2:8">
      <c r="B5" s="428" t="s">
        <v>1838</v>
      </c>
      <c r="C5" s="113"/>
      <c r="D5" s="113"/>
      <c r="E5" s="113"/>
      <c r="F5" s="427"/>
    </row>
    <row r="6" spans="2:8">
      <c r="B6" s="426">
        <v>1</v>
      </c>
      <c r="C6" s="113"/>
      <c r="D6" s="429">
        <f>Banking!C25+Banking!C24+Banking!C23</f>
        <v>19.48555</v>
      </c>
      <c r="E6" s="429">
        <f>SUM(Banking!C21:C23)</f>
        <v>24.20335</v>
      </c>
      <c r="F6" s="430">
        <f>Banking!C18+Banking!C19+Banking!C20</f>
        <v>20.884700000000002</v>
      </c>
    </row>
    <row r="7" spans="2:8">
      <c r="B7" s="426">
        <v>2</v>
      </c>
      <c r="C7" s="113"/>
      <c r="D7" s="431">
        <f>SUM(Banking!C42:C44)</f>
        <v>0</v>
      </c>
      <c r="E7" s="431">
        <f>SUM(Banking!C40:C42)</f>
        <v>0</v>
      </c>
      <c r="F7" s="432">
        <f>SUM(Banking!C37:C39)</f>
        <v>0</v>
      </c>
    </row>
    <row r="8" spans="2:8">
      <c r="B8" s="426">
        <v>3</v>
      </c>
      <c r="C8" s="113"/>
      <c r="D8" s="113">
        <f>SUM(Banking!C61:C63)</f>
        <v>0</v>
      </c>
      <c r="E8" s="113">
        <f>SUM(Banking!C59:C61)</f>
        <v>0</v>
      </c>
      <c r="F8" s="427">
        <f>SUM(Banking!C56:C58)</f>
        <v>0</v>
      </c>
    </row>
    <row r="9" spans="2:8">
      <c r="B9" s="426">
        <v>4</v>
      </c>
      <c r="C9" s="113"/>
      <c r="D9" s="113">
        <f>SUM(Banking!C80:C82)</f>
        <v>0</v>
      </c>
      <c r="E9" s="113">
        <f>SUM(Banking!C78:C80)</f>
        <v>0</v>
      </c>
      <c r="F9" s="427">
        <f>SUM(Banking!C75:C77)</f>
        <v>0</v>
      </c>
    </row>
    <row r="10" spans="2:8">
      <c r="B10" s="426">
        <v>5</v>
      </c>
      <c r="C10" s="113"/>
      <c r="D10" s="113">
        <f>SUM(Banking!C99:C101)</f>
        <v>0</v>
      </c>
      <c r="E10" s="113">
        <f>SUM(Banking!C97:C99)</f>
        <v>0</v>
      </c>
      <c r="F10" s="427">
        <f>SUM(Banking!C94:C96)</f>
        <v>0</v>
      </c>
    </row>
    <row r="11" spans="2:8">
      <c r="B11" s="428" t="s">
        <v>153</v>
      </c>
      <c r="C11" s="113"/>
      <c r="D11" s="113"/>
      <c r="E11" s="433">
        <f>SUM(E6:E10)</f>
        <v>24.20335</v>
      </c>
      <c r="F11" s="434">
        <f>SUM(F6:F10)</f>
        <v>20.884700000000002</v>
      </c>
    </row>
    <row r="12" spans="2:8">
      <c r="B12" s="435"/>
      <c r="C12" s="436"/>
      <c r="D12" s="436"/>
      <c r="E12" s="436"/>
      <c r="F12" s="437"/>
    </row>
    <row r="14" spans="2:8">
      <c r="B14" s="410" t="s">
        <v>1844</v>
      </c>
    </row>
  </sheetData>
  <pageMargins left="0.7" right="0.7" top="0.75" bottom="0.75" header="0.3" footer="0.3"/>
  <pageSetup paperSize="9" orientation="portrait" verticalDpi="0" r:id="rId1"/>
  <headerFooter>
    <oddFooter>&amp;C&amp;1#&amp;"Calibri"&amp;10&amp;K000000Clix Internal Circulation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S777"/>
  <sheetViews>
    <sheetView workbookViewId="0">
      <selection activeCell="D2" sqref="D2"/>
    </sheetView>
  </sheetViews>
  <sheetFormatPr defaultColWidth="14.42578125" defaultRowHeight="15.75" customHeight="1"/>
  <cols>
    <col min="1" max="1" width="19.140625" style="96" bestFit="1" customWidth="1"/>
    <col min="2" max="2" width="29" style="96" bestFit="1" customWidth="1"/>
    <col min="3" max="3" width="15.140625" style="96" bestFit="1" customWidth="1"/>
    <col min="4" max="4" width="31.140625" style="96" bestFit="1" customWidth="1"/>
    <col min="5" max="5" width="30.28515625" style="96" customWidth="1"/>
    <col min="6" max="6" width="26.5703125" style="96" customWidth="1"/>
    <col min="7" max="7" width="12.140625" style="96" customWidth="1"/>
    <col min="8" max="8" width="18" style="96" customWidth="1"/>
    <col min="9" max="9" width="10.5703125" style="96" customWidth="1"/>
    <col min="10" max="10" width="5.7109375" style="96" customWidth="1"/>
    <col min="11" max="11" width="4.5703125" style="96" customWidth="1"/>
    <col min="12" max="12" width="7.5703125" style="96" customWidth="1"/>
    <col min="13" max="13" width="8.140625" style="96" customWidth="1"/>
    <col min="14" max="14" width="16.85546875" style="96" customWidth="1"/>
    <col min="15" max="15" width="15" style="96" customWidth="1"/>
    <col min="16" max="16" width="10" style="96" customWidth="1"/>
    <col min="17" max="17" width="9.7109375" style="96" customWidth="1"/>
    <col min="18" max="18" width="6.5703125" style="96" customWidth="1"/>
    <col min="19" max="19" width="7.140625" style="96" customWidth="1"/>
    <col min="20" max="20" width="13.140625" style="96" customWidth="1"/>
    <col min="21" max="21" width="15.85546875" style="96" customWidth="1"/>
    <col min="22" max="22" width="12.140625" style="96" customWidth="1"/>
    <col min="23" max="23" width="8.5703125" style="96" customWidth="1"/>
    <col min="24" max="24" width="10.7109375" style="96" customWidth="1"/>
    <col min="25" max="25" width="8.85546875" style="96" customWidth="1"/>
    <col min="26" max="26" width="9.28515625" style="96" customWidth="1"/>
    <col min="27" max="27" width="7.140625" style="96" customWidth="1"/>
    <col min="28" max="28" width="11.140625" style="96" customWidth="1"/>
    <col min="29" max="29" width="7.140625" style="96" customWidth="1"/>
    <col min="30" max="30" width="9.5703125" style="96" customWidth="1"/>
    <col min="31" max="31" width="6.85546875" style="96" customWidth="1"/>
    <col min="32" max="32" width="11" style="96" customWidth="1"/>
    <col min="33" max="33" width="10" style="96" customWidth="1"/>
    <col min="34" max="34" width="7.28515625" style="96" customWidth="1"/>
    <col min="35" max="35" width="13.28515625" style="96" customWidth="1"/>
    <col min="36" max="36" width="12" style="96" customWidth="1"/>
    <col min="37" max="37" width="12.140625" style="96" customWidth="1"/>
    <col min="38" max="38" width="11.28515625" style="96" customWidth="1"/>
    <col min="39" max="42" width="19.5703125" style="96" bestFit="1" customWidth="1"/>
    <col min="43" max="43" width="22.7109375" style="96" bestFit="1" customWidth="1"/>
    <col min="44" max="76" width="24.42578125" style="96" bestFit="1" customWidth="1"/>
    <col min="77" max="77" width="11.5703125" style="96" customWidth="1"/>
    <col min="78" max="115" width="16.28515625" style="96" bestFit="1" customWidth="1"/>
    <col min="116" max="116" width="10.42578125" style="96" customWidth="1"/>
    <col min="117" max="117" width="12.85546875" style="96" customWidth="1"/>
    <col min="118" max="118" width="16" style="96" bestFit="1" customWidth="1"/>
    <col min="119" max="146" width="23.42578125" style="96" bestFit="1" customWidth="1"/>
    <col min="147" max="147" width="17.28515625" style="96" bestFit="1" customWidth="1"/>
    <col min="148" max="148" width="19.85546875" style="96" bestFit="1" customWidth="1"/>
    <col min="149" max="149" width="23" style="96" bestFit="1" customWidth="1"/>
    <col min="150" max="151" width="12.42578125" style="96" customWidth="1"/>
    <col min="152" max="152" width="15.5703125" style="96" bestFit="1" customWidth="1"/>
    <col min="153" max="163" width="16.5703125" style="96" bestFit="1" customWidth="1"/>
    <col min="164" max="164" width="10.5703125" style="96" customWidth="1"/>
    <col min="165" max="166" width="10.140625" style="96" customWidth="1"/>
    <col min="167" max="167" width="9.42578125" style="96" customWidth="1"/>
    <col min="168" max="200" width="18.5703125" style="96" bestFit="1" customWidth="1"/>
    <col min="201" max="201" width="12.42578125" style="96" customWidth="1"/>
    <col min="202" max="223" width="14.140625" style="96" customWidth="1"/>
    <col min="224" max="224" width="13.140625" style="96" customWidth="1"/>
    <col min="225" max="236" width="18.7109375" style="96" bestFit="1" customWidth="1"/>
    <col min="237" max="237" width="22" style="96" bestFit="1" customWidth="1"/>
    <col min="238" max="257" width="16.85546875" style="96" bestFit="1" customWidth="1"/>
    <col min="258" max="258" width="20" style="96" bestFit="1" customWidth="1"/>
    <col min="259" max="282" width="19.42578125" style="96" bestFit="1" customWidth="1"/>
    <col min="283" max="283" width="15" style="96" bestFit="1" customWidth="1"/>
    <col min="284" max="313" width="17.28515625" style="96" bestFit="1" customWidth="1"/>
    <col min="314" max="314" width="14.7109375" style="96" bestFit="1" customWidth="1"/>
    <col min="315" max="328" width="19.7109375" style="96" bestFit="1" customWidth="1"/>
    <col min="329" max="329" width="11.42578125" style="96" customWidth="1"/>
    <col min="330" max="331" width="9" style="96" customWidth="1"/>
    <col min="332" max="332" width="12" style="96" customWidth="1"/>
    <col min="333" max="333" width="15" style="96" bestFit="1" customWidth="1"/>
    <col min="334" max="334" width="18.140625" style="96" bestFit="1" customWidth="1"/>
    <col min="335" max="389" width="17.7109375" style="96" bestFit="1" customWidth="1"/>
    <col min="390" max="390" width="20.85546875" style="96" bestFit="1" customWidth="1"/>
    <col min="391" max="426" width="17.5703125" style="96" bestFit="1" customWidth="1"/>
    <col min="427" max="427" width="17.28515625" style="96" bestFit="1" customWidth="1"/>
    <col min="428" max="443" width="14.5703125" style="96" bestFit="1" customWidth="1"/>
    <col min="444" max="444" width="13.5703125" style="96" customWidth="1"/>
    <col min="445" max="455" width="21" style="96" bestFit="1" customWidth="1"/>
    <col min="456" max="456" width="15.7109375" style="96" bestFit="1" customWidth="1"/>
    <col min="457" max="464" width="10.7109375" style="96" customWidth="1"/>
    <col min="465" max="465" width="13.85546875" style="96" customWidth="1"/>
    <col min="466" max="477" width="12.42578125" style="96" customWidth="1"/>
    <col min="478" max="478" width="14.28515625" style="96" customWidth="1"/>
    <col min="479" max="508" width="13.28515625" style="96" customWidth="1"/>
    <col min="509" max="509" width="12" style="96" customWidth="1"/>
    <col min="510" max="513" width="13" style="96" customWidth="1"/>
    <col min="514" max="514" width="16.140625" style="96" bestFit="1" customWidth="1"/>
    <col min="515" max="536" width="26.5703125" style="96" bestFit="1" customWidth="1"/>
    <col min="537" max="537" width="12" style="96" customWidth="1"/>
    <col min="538" max="570" width="16" style="96" bestFit="1" customWidth="1"/>
    <col min="571" max="571" width="14.5703125" style="96" bestFit="1" customWidth="1"/>
    <col min="572" max="575" width="12.42578125" style="96" customWidth="1"/>
    <col min="576" max="576" width="11.7109375" style="96" customWidth="1"/>
    <col min="577" max="614" width="16.7109375" style="96" bestFit="1" customWidth="1"/>
    <col min="615" max="615" width="16" style="96" bestFit="1" customWidth="1"/>
    <col min="616" max="648" width="21.7109375" style="96" bestFit="1" customWidth="1"/>
    <col min="649" max="649" width="15" style="96" bestFit="1" customWidth="1"/>
    <col min="650" max="657" width="12.85546875" style="96" customWidth="1"/>
    <col min="658" max="658" width="12.140625" style="96" customWidth="1"/>
    <col min="659" max="733" width="21" style="96" bestFit="1" customWidth="1"/>
    <col min="734" max="734" width="18.28515625" style="96" bestFit="1" customWidth="1"/>
    <col min="735" max="747" width="18.5703125" style="96" bestFit="1" customWidth="1"/>
    <col min="748" max="748" width="17" style="96" bestFit="1" customWidth="1"/>
    <col min="749" max="771" width="19" style="96" bestFit="1" customWidth="1"/>
    <col min="772" max="772" width="17.28515625" style="96" bestFit="1" customWidth="1"/>
    <col min="773" max="773" width="11.28515625" style="96" customWidth="1"/>
    <col min="774" max="16384" width="14.42578125" style="96"/>
  </cols>
  <sheetData>
    <row r="1" spans="1:773" ht="15.75" customHeight="1">
      <c r="A1" s="807" t="s">
        <v>575</v>
      </c>
      <c r="B1" s="807"/>
      <c r="C1" s="807"/>
    </row>
    <row r="2" spans="1:773" ht="15.75" customHeight="1">
      <c r="A2" s="808" t="s">
        <v>576</v>
      </c>
      <c r="B2" s="808"/>
      <c r="C2" s="808"/>
    </row>
    <row r="3" spans="1:773" ht="15.75" customHeight="1">
      <c r="A3" s="97" t="s">
        <v>12</v>
      </c>
      <c r="B3" s="97" t="s">
        <v>13</v>
      </c>
      <c r="C3" s="97" t="s">
        <v>577</v>
      </c>
      <c r="E3" s="99" t="s">
        <v>12</v>
      </c>
      <c r="F3" s="99" t="s">
        <v>13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row>
    <row r="4" spans="1:773" ht="15.75" customHeight="1">
      <c r="A4" s="98" t="s">
        <v>578</v>
      </c>
      <c r="B4" s="98" t="s">
        <v>579</v>
      </c>
      <c r="C4" s="98" t="s">
        <v>580</v>
      </c>
      <c r="E4" t="s">
        <v>578</v>
      </c>
      <c r="F4" t="s">
        <v>579</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row>
    <row r="5" spans="1:773" ht="15.75" customHeight="1">
      <c r="A5" s="98" t="s">
        <v>578</v>
      </c>
      <c r="B5" s="98" t="s">
        <v>581</v>
      </c>
      <c r="C5" s="98" t="s">
        <v>580</v>
      </c>
      <c r="E5"/>
      <c r="F5" t="s">
        <v>581</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row>
    <row r="6" spans="1:773" ht="15.75" customHeight="1">
      <c r="A6" s="98" t="s">
        <v>578</v>
      </c>
      <c r="B6" s="98" t="s">
        <v>582</v>
      </c>
      <c r="C6" s="98" t="s">
        <v>580</v>
      </c>
      <c r="E6"/>
      <c r="F6" t="s">
        <v>582</v>
      </c>
      <c r="G6"/>
      <c r="H6"/>
      <c r="I6"/>
      <c r="J6"/>
      <c r="K6"/>
      <c r="L6"/>
      <c r="M6"/>
      <c r="N6"/>
      <c r="O6"/>
      <c r="P6"/>
      <c r="Q6"/>
      <c r="R6"/>
      <c r="S6"/>
      <c r="T6"/>
      <c r="U6"/>
      <c r="V6"/>
      <c r="W6"/>
      <c r="X6"/>
      <c r="Y6"/>
      <c r="Z6"/>
      <c r="AA6"/>
      <c r="AB6"/>
      <c r="AC6"/>
      <c r="AD6"/>
      <c r="AE6"/>
      <c r="AF6"/>
      <c r="AG6"/>
      <c r="AH6"/>
      <c r="AI6"/>
      <c r="AJ6"/>
      <c r="AK6"/>
      <c r="AL6"/>
    </row>
    <row r="7" spans="1:773" ht="15.75" customHeight="1">
      <c r="A7" s="98" t="s">
        <v>583</v>
      </c>
      <c r="B7" s="98" t="s">
        <v>584</v>
      </c>
      <c r="C7" s="98" t="s">
        <v>12</v>
      </c>
      <c r="E7" t="s">
        <v>1343</v>
      </c>
      <c r="F7"/>
      <c r="G7"/>
      <c r="H7"/>
      <c r="I7"/>
      <c r="J7"/>
      <c r="K7"/>
      <c r="L7"/>
      <c r="M7"/>
      <c r="N7"/>
      <c r="O7"/>
      <c r="P7"/>
      <c r="Q7"/>
      <c r="R7"/>
      <c r="S7"/>
      <c r="T7"/>
      <c r="U7"/>
      <c r="V7"/>
      <c r="W7"/>
      <c r="X7"/>
      <c r="Y7"/>
      <c r="Z7"/>
      <c r="AA7"/>
      <c r="AB7"/>
      <c r="AC7"/>
      <c r="AD7"/>
      <c r="AE7"/>
      <c r="AF7"/>
      <c r="AG7"/>
      <c r="AH7"/>
      <c r="AI7"/>
      <c r="AJ7"/>
      <c r="AK7"/>
      <c r="AL7"/>
    </row>
    <row r="8" spans="1:773" ht="15.75" customHeight="1">
      <c r="A8" s="98" t="s">
        <v>583</v>
      </c>
      <c r="B8" s="98" t="s">
        <v>585</v>
      </c>
      <c r="C8" s="98" t="s">
        <v>12</v>
      </c>
      <c r="E8" t="s">
        <v>583</v>
      </c>
      <c r="F8" t="s">
        <v>584</v>
      </c>
      <c r="G8"/>
      <c r="H8"/>
      <c r="I8"/>
      <c r="J8"/>
      <c r="K8"/>
      <c r="L8"/>
      <c r="M8"/>
      <c r="N8"/>
      <c r="O8"/>
      <c r="P8"/>
      <c r="Q8"/>
      <c r="R8"/>
      <c r="S8"/>
      <c r="T8"/>
      <c r="U8"/>
      <c r="V8"/>
      <c r="W8"/>
      <c r="X8"/>
      <c r="Y8"/>
      <c r="Z8"/>
      <c r="AA8"/>
      <c r="AB8"/>
      <c r="AC8"/>
      <c r="AD8"/>
      <c r="AE8"/>
      <c r="AF8"/>
      <c r="AG8"/>
      <c r="AH8"/>
      <c r="AI8"/>
      <c r="AJ8"/>
      <c r="AK8"/>
      <c r="AL8"/>
    </row>
    <row r="9" spans="1:773" ht="15.75" customHeight="1">
      <c r="A9" s="98" t="s">
        <v>583</v>
      </c>
      <c r="B9" s="98" t="s">
        <v>586</v>
      </c>
      <c r="C9" s="98" t="s">
        <v>12</v>
      </c>
      <c r="E9"/>
      <c r="F9" t="s">
        <v>585</v>
      </c>
      <c r="G9"/>
      <c r="H9"/>
      <c r="I9"/>
      <c r="J9"/>
      <c r="K9"/>
      <c r="L9"/>
      <c r="M9"/>
      <c r="N9"/>
      <c r="O9"/>
      <c r="P9"/>
      <c r="Q9"/>
      <c r="R9"/>
      <c r="S9"/>
      <c r="T9"/>
      <c r="U9"/>
      <c r="V9"/>
      <c r="W9"/>
      <c r="X9"/>
      <c r="Y9"/>
      <c r="Z9"/>
      <c r="AA9"/>
      <c r="AB9"/>
      <c r="AC9"/>
      <c r="AD9"/>
      <c r="AE9"/>
      <c r="AF9"/>
      <c r="AG9"/>
      <c r="AH9"/>
      <c r="AI9"/>
      <c r="AJ9"/>
      <c r="AK9"/>
      <c r="AL9"/>
    </row>
    <row r="10" spans="1:773" ht="15.75" customHeight="1">
      <c r="A10" s="98" t="s">
        <v>583</v>
      </c>
      <c r="B10" s="98" t="s">
        <v>587</v>
      </c>
      <c r="C10" s="98" t="s">
        <v>12</v>
      </c>
      <c r="E10"/>
      <c r="F10" t="s">
        <v>586</v>
      </c>
      <c r="G10"/>
      <c r="H10"/>
      <c r="I10"/>
      <c r="J10"/>
      <c r="K10"/>
      <c r="L10"/>
      <c r="M10"/>
      <c r="N10"/>
      <c r="O10"/>
      <c r="P10"/>
      <c r="Q10"/>
      <c r="R10"/>
      <c r="S10"/>
      <c r="T10"/>
      <c r="U10"/>
      <c r="V10"/>
      <c r="W10"/>
      <c r="X10"/>
      <c r="Y10"/>
      <c r="Z10"/>
      <c r="AA10"/>
      <c r="AB10"/>
      <c r="AC10"/>
      <c r="AD10"/>
      <c r="AE10"/>
      <c r="AF10"/>
      <c r="AG10"/>
      <c r="AH10"/>
      <c r="AI10"/>
      <c r="AJ10"/>
      <c r="AK10"/>
      <c r="AL10"/>
    </row>
    <row r="11" spans="1:773" ht="15.75" customHeight="1">
      <c r="A11" s="98" t="s">
        <v>583</v>
      </c>
      <c r="B11" s="98" t="s">
        <v>588</v>
      </c>
      <c r="C11" s="98" t="s">
        <v>12</v>
      </c>
      <c r="E11"/>
      <c r="F11" t="s">
        <v>587</v>
      </c>
      <c r="G11"/>
      <c r="H11"/>
      <c r="I11"/>
      <c r="J11"/>
      <c r="K11"/>
      <c r="L11"/>
      <c r="M11"/>
      <c r="N11"/>
      <c r="O11"/>
      <c r="P11"/>
      <c r="Q11"/>
      <c r="R11"/>
      <c r="S11"/>
      <c r="T11"/>
      <c r="U11"/>
      <c r="V11"/>
      <c r="W11"/>
      <c r="X11"/>
      <c r="Y11"/>
      <c r="Z11"/>
      <c r="AA11"/>
      <c r="AB11"/>
      <c r="AC11"/>
      <c r="AD11"/>
      <c r="AE11"/>
      <c r="AF11"/>
      <c r="AG11"/>
      <c r="AH11"/>
      <c r="AI11"/>
      <c r="AJ11"/>
      <c r="AK11"/>
      <c r="AL11"/>
    </row>
    <row r="12" spans="1:773" ht="15.75" customHeight="1">
      <c r="A12" s="98" t="s">
        <v>583</v>
      </c>
      <c r="B12" s="98" t="s">
        <v>589</v>
      </c>
      <c r="C12" s="98" t="s">
        <v>12</v>
      </c>
      <c r="E12"/>
      <c r="F12" t="s">
        <v>588</v>
      </c>
      <c r="G12"/>
      <c r="H12"/>
      <c r="I12"/>
      <c r="J12"/>
      <c r="K12"/>
      <c r="L12"/>
      <c r="M12"/>
      <c r="N12"/>
      <c r="O12"/>
      <c r="P12"/>
      <c r="Q12"/>
      <c r="R12"/>
      <c r="S12"/>
      <c r="T12"/>
      <c r="U12"/>
      <c r="V12"/>
      <c r="W12"/>
      <c r="X12"/>
      <c r="Y12"/>
      <c r="Z12"/>
      <c r="AA12"/>
      <c r="AB12"/>
      <c r="AC12"/>
      <c r="AD12"/>
      <c r="AE12"/>
      <c r="AF12"/>
      <c r="AG12"/>
      <c r="AH12"/>
      <c r="AI12"/>
      <c r="AJ12"/>
      <c r="AK12"/>
      <c r="AL12"/>
    </row>
    <row r="13" spans="1:773" ht="15.75" customHeight="1">
      <c r="A13" s="98" t="s">
        <v>583</v>
      </c>
      <c r="B13" s="98" t="s">
        <v>590</v>
      </c>
      <c r="C13" s="98" t="s">
        <v>12</v>
      </c>
      <c r="E13"/>
      <c r="F13" t="s">
        <v>589</v>
      </c>
      <c r="G13"/>
      <c r="H13"/>
      <c r="I13"/>
      <c r="J13"/>
      <c r="K13"/>
      <c r="L13"/>
      <c r="M13"/>
      <c r="N13"/>
      <c r="O13"/>
      <c r="P13"/>
      <c r="Q13"/>
      <c r="R13"/>
      <c r="S13"/>
      <c r="T13"/>
      <c r="U13"/>
      <c r="V13"/>
      <c r="W13"/>
      <c r="X13"/>
      <c r="Y13"/>
      <c r="Z13"/>
      <c r="AA13"/>
      <c r="AB13"/>
      <c r="AC13"/>
      <c r="AD13"/>
      <c r="AE13"/>
      <c r="AF13"/>
      <c r="AG13"/>
      <c r="AH13"/>
      <c r="AI13"/>
      <c r="AJ13"/>
      <c r="AK13"/>
      <c r="AL13"/>
    </row>
    <row r="14" spans="1:773" ht="15.75" customHeight="1">
      <c r="A14" s="98" t="s">
        <v>583</v>
      </c>
      <c r="B14" s="98" t="s">
        <v>591</v>
      </c>
      <c r="C14" s="98" t="s">
        <v>12</v>
      </c>
      <c r="E14"/>
      <c r="F14" t="s">
        <v>590</v>
      </c>
      <c r="G14"/>
      <c r="H14"/>
      <c r="I14"/>
      <c r="J14"/>
      <c r="K14"/>
      <c r="L14"/>
      <c r="M14"/>
      <c r="N14"/>
      <c r="O14"/>
      <c r="P14"/>
      <c r="Q14"/>
      <c r="R14"/>
      <c r="S14"/>
      <c r="T14"/>
      <c r="U14"/>
      <c r="V14"/>
      <c r="W14"/>
      <c r="X14"/>
      <c r="Y14"/>
      <c r="Z14"/>
      <c r="AA14"/>
      <c r="AB14"/>
      <c r="AC14"/>
      <c r="AD14"/>
      <c r="AE14"/>
      <c r="AF14"/>
      <c r="AG14"/>
      <c r="AH14"/>
      <c r="AI14"/>
      <c r="AJ14"/>
      <c r="AK14"/>
      <c r="AL14"/>
    </row>
    <row r="15" spans="1:773" ht="15.75" customHeight="1">
      <c r="A15" s="98" t="s">
        <v>583</v>
      </c>
      <c r="B15" s="98" t="s">
        <v>592</v>
      </c>
      <c r="C15" s="98" t="s">
        <v>12</v>
      </c>
      <c r="E15"/>
      <c r="F15" t="s">
        <v>591</v>
      </c>
      <c r="G15"/>
      <c r="H15"/>
      <c r="I15"/>
      <c r="J15"/>
      <c r="K15"/>
      <c r="L15"/>
      <c r="M15"/>
      <c r="N15"/>
      <c r="O15"/>
      <c r="P15"/>
      <c r="Q15"/>
      <c r="R15"/>
      <c r="S15"/>
      <c r="T15"/>
      <c r="U15"/>
      <c r="V15"/>
      <c r="W15"/>
      <c r="X15"/>
      <c r="Y15"/>
      <c r="Z15"/>
      <c r="AA15"/>
      <c r="AB15"/>
      <c r="AC15"/>
      <c r="AD15"/>
      <c r="AE15"/>
      <c r="AF15"/>
      <c r="AG15"/>
      <c r="AH15"/>
      <c r="AI15"/>
      <c r="AJ15"/>
      <c r="AK15"/>
      <c r="AL15"/>
    </row>
    <row r="16" spans="1:773" ht="15.75" customHeight="1">
      <c r="A16" s="98" t="s">
        <v>583</v>
      </c>
      <c r="B16" s="98" t="s">
        <v>593</v>
      </c>
      <c r="C16" s="98" t="s">
        <v>12</v>
      </c>
      <c r="E16"/>
      <c r="F16" t="s">
        <v>592</v>
      </c>
      <c r="G16"/>
      <c r="H16"/>
      <c r="I16"/>
      <c r="J16"/>
      <c r="K16"/>
      <c r="L16"/>
      <c r="M16"/>
      <c r="N16"/>
      <c r="O16"/>
      <c r="P16"/>
      <c r="Q16"/>
      <c r="R16"/>
      <c r="S16"/>
      <c r="T16"/>
      <c r="U16"/>
      <c r="V16"/>
      <c r="W16"/>
      <c r="X16"/>
      <c r="Y16"/>
      <c r="Z16"/>
      <c r="AA16"/>
      <c r="AB16"/>
      <c r="AC16"/>
      <c r="AD16"/>
      <c r="AE16"/>
      <c r="AF16"/>
      <c r="AG16"/>
      <c r="AH16"/>
      <c r="AI16"/>
      <c r="AJ16"/>
      <c r="AK16"/>
      <c r="AL16"/>
    </row>
    <row r="17" spans="1:38" ht="15.75" customHeight="1">
      <c r="A17" s="98" t="s">
        <v>583</v>
      </c>
      <c r="B17" s="98" t="s">
        <v>594</v>
      </c>
      <c r="C17" s="98" t="s">
        <v>12</v>
      </c>
      <c r="E17"/>
      <c r="F17" t="s">
        <v>593</v>
      </c>
      <c r="G17"/>
      <c r="H17"/>
      <c r="I17"/>
      <c r="J17"/>
      <c r="K17"/>
      <c r="L17"/>
      <c r="M17"/>
      <c r="N17"/>
      <c r="O17"/>
      <c r="P17"/>
      <c r="Q17"/>
      <c r="R17"/>
      <c r="S17"/>
      <c r="T17"/>
      <c r="U17"/>
      <c r="V17"/>
      <c r="W17"/>
      <c r="X17"/>
      <c r="Y17"/>
      <c r="Z17"/>
      <c r="AA17"/>
      <c r="AB17"/>
      <c r="AC17"/>
      <c r="AD17"/>
      <c r="AE17"/>
      <c r="AF17"/>
      <c r="AG17"/>
      <c r="AH17"/>
      <c r="AI17"/>
      <c r="AJ17"/>
      <c r="AK17"/>
      <c r="AL17"/>
    </row>
    <row r="18" spans="1:38" ht="15.75" customHeight="1">
      <c r="A18" s="98" t="s">
        <v>583</v>
      </c>
      <c r="B18" s="98" t="s">
        <v>595</v>
      </c>
      <c r="C18" s="98" t="s">
        <v>12</v>
      </c>
      <c r="E18"/>
      <c r="F18" t="s">
        <v>594</v>
      </c>
      <c r="G18"/>
      <c r="H18"/>
      <c r="I18"/>
      <c r="J18"/>
      <c r="K18"/>
      <c r="L18"/>
      <c r="M18"/>
      <c r="N18"/>
      <c r="O18"/>
      <c r="P18"/>
      <c r="Q18"/>
      <c r="R18"/>
      <c r="S18"/>
      <c r="T18"/>
      <c r="U18"/>
      <c r="V18"/>
      <c r="W18"/>
      <c r="X18"/>
      <c r="Y18"/>
      <c r="Z18"/>
      <c r="AA18"/>
      <c r="AB18"/>
      <c r="AC18"/>
      <c r="AD18"/>
      <c r="AE18"/>
      <c r="AF18"/>
      <c r="AG18"/>
      <c r="AH18"/>
      <c r="AI18"/>
      <c r="AJ18"/>
      <c r="AK18"/>
      <c r="AL18"/>
    </row>
    <row r="19" spans="1:38" ht="15.75" customHeight="1">
      <c r="A19" s="98" t="s">
        <v>583</v>
      </c>
      <c r="B19" s="98" t="s">
        <v>596</v>
      </c>
      <c r="C19" s="98" t="s">
        <v>12</v>
      </c>
      <c r="E19"/>
      <c r="F19" t="s">
        <v>595</v>
      </c>
      <c r="G19"/>
      <c r="H19"/>
      <c r="I19"/>
      <c r="J19"/>
      <c r="K19"/>
      <c r="L19"/>
      <c r="M19"/>
      <c r="N19"/>
      <c r="O19"/>
      <c r="P19"/>
      <c r="Q19"/>
      <c r="R19"/>
      <c r="S19"/>
      <c r="T19"/>
      <c r="U19"/>
      <c r="V19"/>
      <c r="W19"/>
      <c r="X19"/>
      <c r="Y19"/>
      <c r="Z19"/>
      <c r="AA19"/>
      <c r="AB19"/>
      <c r="AC19"/>
      <c r="AD19"/>
      <c r="AE19"/>
      <c r="AF19"/>
      <c r="AG19"/>
      <c r="AH19"/>
      <c r="AI19"/>
      <c r="AJ19"/>
      <c r="AK19"/>
      <c r="AL19"/>
    </row>
    <row r="20" spans="1:38" ht="15.75" customHeight="1">
      <c r="A20" s="98" t="s">
        <v>597</v>
      </c>
      <c r="B20" s="98" t="s">
        <v>598</v>
      </c>
      <c r="C20" s="98" t="s">
        <v>12</v>
      </c>
      <c r="E20"/>
      <c r="F20" t="s">
        <v>596</v>
      </c>
      <c r="G20"/>
      <c r="H20"/>
      <c r="I20"/>
      <c r="J20"/>
      <c r="K20"/>
      <c r="L20"/>
      <c r="M20"/>
      <c r="N20"/>
      <c r="O20"/>
      <c r="P20"/>
      <c r="Q20"/>
      <c r="R20"/>
      <c r="S20"/>
      <c r="T20"/>
      <c r="U20"/>
      <c r="V20"/>
      <c r="W20"/>
      <c r="X20"/>
      <c r="Y20"/>
      <c r="Z20"/>
      <c r="AA20"/>
      <c r="AB20"/>
      <c r="AC20"/>
      <c r="AD20"/>
      <c r="AE20"/>
      <c r="AF20"/>
      <c r="AG20"/>
      <c r="AH20"/>
      <c r="AI20"/>
      <c r="AJ20"/>
      <c r="AK20"/>
      <c r="AL20"/>
    </row>
    <row r="21" spans="1:38" ht="15.75" customHeight="1">
      <c r="A21" s="98" t="s">
        <v>597</v>
      </c>
      <c r="B21" s="98" t="s">
        <v>599</v>
      </c>
      <c r="C21" s="98" t="s">
        <v>12</v>
      </c>
      <c r="E21" t="s">
        <v>1344</v>
      </c>
      <c r="F21"/>
      <c r="G21"/>
      <c r="H21"/>
      <c r="I21"/>
      <c r="J21"/>
      <c r="K21"/>
      <c r="L21"/>
      <c r="M21"/>
      <c r="N21"/>
      <c r="O21"/>
      <c r="P21"/>
      <c r="Q21"/>
      <c r="R21"/>
      <c r="S21"/>
      <c r="T21"/>
      <c r="U21"/>
      <c r="V21"/>
      <c r="W21"/>
      <c r="X21"/>
      <c r="Y21"/>
      <c r="Z21"/>
      <c r="AA21"/>
      <c r="AB21"/>
      <c r="AC21"/>
      <c r="AD21"/>
      <c r="AE21"/>
      <c r="AF21"/>
      <c r="AG21"/>
      <c r="AH21"/>
      <c r="AI21"/>
      <c r="AJ21"/>
      <c r="AK21"/>
      <c r="AL21"/>
    </row>
    <row r="22" spans="1:38" ht="15.75" customHeight="1">
      <c r="A22" s="98" t="s">
        <v>597</v>
      </c>
      <c r="B22" s="98" t="s">
        <v>600</v>
      </c>
      <c r="C22" s="98" t="s">
        <v>12</v>
      </c>
      <c r="E22" t="s">
        <v>597</v>
      </c>
      <c r="F22" t="s">
        <v>598</v>
      </c>
      <c r="G22"/>
      <c r="H22"/>
      <c r="I22"/>
      <c r="J22"/>
      <c r="K22"/>
      <c r="L22"/>
      <c r="M22"/>
      <c r="N22"/>
      <c r="O22"/>
      <c r="P22"/>
      <c r="Q22"/>
      <c r="R22"/>
      <c r="S22"/>
      <c r="T22"/>
      <c r="U22"/>
      <c r="V22"/>
      <c r="W22"/>
      <c r="X22"/>
      <c r="Y22"/>
      <c r="Z22"/>
      <c r="AA22"/>
      <c r="AB22"/>
      <c r="AC22"/>
      <c r="AD22"/>
      <c r="AE22"/>
      <c r="AF22"/>
      <c r="AG22"/>
      <c r="AH22"/>
      <c r="AI22"/>
      <c r="AJ22"/>
      <c r="AK22"/>
      <c r="AL22"/>
    </row>
    <row r="23" spans="1:38" ht="15.75" customHeight="1">
      <c r="A23" s="98" t="s">
        <v>597</v>
      </c>
      <c r="B23" s="98" t="s">
        <v>601</v>
      </c>
      <c r="C23" s="98" t="s">
        <v>12</v>
      </c>
      <c r="E23"/>
      <c r="F23" t="s">
        <v>599</v>
      </c>
      <c r="G23"/>
      <c r="H23"/>
      <c r="I23"/>
      <c r="J23"/>
      <c r="K23"/>
      <c r="L23"/>
      <c r="M23"/>
      <c r="N23"/>
      <c r="O23"/>
      <c r="P23"/>
      <c r="Q23"/>
      <c r="R23"/>
      <c r="S23"/>
      <c r="T23"/>
      <c r="U23"/>
      <c r="V23"/>
      <c r="W23"/>
      <c r="X23"/>
      <c r="Y23"/>
      <c r="Z23"/>
      <c r="AA23"/>
      <c r="AB23"/>
      <c r="AC23"/>
      <c r="AD23"/>
      <c r="AE23"/>
      <c r="AF23"/>
      <c r="AG23"/>
      <c r="AH23"/>
      <c r="AI23"/>
      <c r="AJ23"/>
      <c r="AK23"/>
      <c r="AL23"/>
    </row>
    <row r="24" spans="1:38" ht="15.75" customHeight="1">
      <c r="A24" s="98" t="s">
        <v>597</v>
      </c>
      <c r="B24" s="98" t="s">
        <v>602</v>
      </c>
      <c r="C24" s="98" t="s">
        <v>12</v>
      </c>
      <c r="E24"/>
      <c r="F24" t="s">
        <v>600</v>
      </c>
      <c r="G24"/>
      <c r="H24"/>
      <c r="I24"/>
      <c r="J24"/>
      <c r="K24"/>
      <c r="L24"/>
      <c r="M24"/>
      <c r="N24"/>
      <c r="O24"/>
      <c r="P24"/>
      <c r="Q24"/>
      <c r="R24"/>
      <c r="S24"/>
      <c r="T24"/>
      <c r="U24"/>
      <c r="V24"/>
      <c r="W24"/>
      <c r="X24"/>
      <c r="Y24"/>
      <c r="Z24"/>
      <c r="AA24"/>
      <c r="AB24"/>
      <c r="AC24"/>
      <c r="AD24"/>
      <c r="AE24"/>
      <c r="AF24"/>
      <c r="AG24"/>
      <c r="AH24"/>
      <c r="AI24"/>
      <c r="AJ24"/>
      <c r="AK24"/>
      <c r="AL24"/>
    </row>
    <row r="25" spans="1:38" ht="15.75" customHeight="1">
      <c r="A25" s="98" t="s">
        <v>597</v>
      </c>
      <c r="B25" s="98" t="s">
        <v>603</v>
      </c>
      <c r="C25" s="98" t="s">
        <v>12</v>
      </c>
      <c r="E25"/>
      <c r="F25" t="s">
        <v>601</v>
      </c>
      <c r="G25"/>
      <c r="H25"/>
      <c r="I25"/>
      <c r="J25"/>
      <c r="K25"/>
      <c r="L25"/>
      <c r="M25"/>
      <c r="N25"/>
      <c r="O25"/>
      <c r="P25"/>
      <c r="Q25"/>
      <c r="R25"/>
      <c r="S25"/>
      <c r="T25"/>
      <c r="U25"/>
      <c r="V25"/>
      <c r="W25"/>
      <c r="X25"/>
      <c r="Y25"/>
      <c r="Z25"/>
      <c r="AA25"/>
      <c r="AB25"/>
      <c r="AC25"/>
      <c r="AD25"/>
      <c r="AE25"/>
      <c r="AF25"/>
      <c r="AG25"/>
      <c r="AH25"/>
      <c r="AI25"/>
      <c r="AJ25"/>
      <c r="AK25"/>
      <c r="AL25"/>
    </row>
    <row r="26" spans="1:38" ht="15.75" customHeight="1">
      <c r="A26" s="98" t="s">
        <v>597</v>
      </c>
      <c r="B26" s="98" t="s">
        <v>604</v>
      </c>
      <c r="C26" s="98" t="s">
        <v>12</v>
      </c>
      <c r="E26"/>
      <c r="F26" t="s">
        <v>602</v>
      </c>
      <c r="G26"/>
      <c r="H26"/>
      <c r="I26"/>
      <c r="J26"/>
      <c r="K26"/>
      <c r="L26"/>
      <c r="M26"/>
      <c r="N26"/>
      <c r="O26"/>
      <c r="P26"/>
      <c r="Q26"/>
      <c r="R26"/>
      <c r="S26"/>
      <c r="T26"/>
      <c r="U26"/>
      <c r="V26"/>
      <c r="W26"/>
      <c r="X26"/>
      <c r="Y26"/>
      <c r="Z26"/>
      <c r="AA26"/>
      <c r="AB26"/>
      <c r="AC26"/>
      <c r="AD26"/>
      <c r="AE26"/>
      <c r="AF26"/>
      <c r="AG26"/>
      <c r="AH26"/>
      <c r="AI26"/>
      <c r="AJ26"/>
      <c r="AK26"/>
      <c r="AL26"/>
    </row>
    <row r="27" spans="1:38" ht="15.75" customHeight="1">
      <c r="A27" s="98" t="s">
        <v>597</v>
      </c>
      <c r="B27" s="98" t="s">
        <v>605</v>
      </c>
      <c r="C27" s="98" t="s">
        <v>12</v>
      </c>
      <c r="E27"/>
      <c r="F27" t="s">
        <v>603</v>
      </c>
      <c r="G27"/>
      <c r="H27"/>
      <c r="I27"/>
      <c r="J27"/>
      <c r="K27"/>
      <c r="L27"/>
      <c r="M27"/>
      <c r="N27"/>
      <c r="O27"/>
      <c r="P27"/>
      <c r="Q27"/>
      <c r="R27"/>
      <c r="S27"/>
      <c r="T27"/>
      <c r="U27"/>
      <c r="V27"/>
      <c r="W27"/>
      <c r="X27"/>
      <c r="Y27"/>
      <c r="Z27"/>
      <c r="AA27"/>
      <c r="AB27"/>
      <c r="AC27"/>
      <c r="AD27"/>
      <c r="AE27"/>
      <c r="AF27"/>
      <c r="AG27"/>
      <c r="AH27"/>
      <c r="AI27"/>
      <c r="AJ27"/>
      <c r="AK27"/>
      <c r="AL27"/>
    </row>
    <row r="28" spans="1:38" ht="15.75" customHeight="1">
      <c r="A28" s="98" t="s">
        <v>597</v>
      </c>
      <c r="B28" s="98" t="s">
        <v>606</v>
      </c>
      <c r="C28" s="98" t="s">
        <v>12</v>
      </c>
      <c r="E28"/>
      <c r="F28" t="s">
        <v>604</v>
      </c>
      <c r="G28"/>
      <c r="H28"/>
      <c r="I28"/>
      <c r="J28"/>
      <c r="K28"/>
      <c r="L28"/>
      <c r="M28"/>
      <c r="N28"/>
      <c r="O28"/>
      <c r="P28"/>
      <c r="Q28"/>
      <c r="R28"/>
      <c r="S28"/>
      <c r="T28"/>
      <c r="U28"/>
      <c r="V28"/>
      <c r="W28"/>
      <c r="X28"/>
      <c r="Y28"/>
      <c r="Z28"/>
      <c r="AA28"/>
      <c r="AB28"/>
      <c r="AC28"/>
      <c r="AD28"/>
      <c r="AE28"/>
      <c r="AF28"/>
      <c r="AG28"/>
      <c r="AH28"/>
      <c r="AI28"/>
      <c r="AJ28"/>
      <c r="AK28"/>
      <c r="AL28"/>
    </row>
    <row r="29" spans="1:38" ht="15.75" customHeight="1">
      <c r="A29" s="98" t="s">
        <v>597</v>
      </c>
      <c r="B29" s="98" t="s">
        <v>607</v>
      </c>
      <c r="C29" s="98" t="s">
        <v>12</v>
      </c>
      <c r="E29"/>
      <c r="F29" t="s">
        <v>605</v>
      </c>
      <c r="G29"/>
      <c r="H29"/>
      <c r="I29"/>
      <c r="J29"/>
      <c r="K29"/>
      <c r="L29"/>
      <c r="M29"/>
      <c r="N29"/>
      <c r="O29"/>
      <c r="P29"/>
      <c r="Q29"/>
      <c r="R29"/>
      <c r="S29"/>
      <c r="T29"/>
      <c r="U29"/>
      <c r="V29"/>
      <c r="W29"/>
      <c r="X29"/>
      <c r="Y29"/>
      <c r="Z29"/>
      <c r="AA29"/>
      <c r="AB29"/>
      <c r="AC29"/>
      <c r="AD29"/>
      <c r="AE29"/>
      <c r="AF29"/>
      <c r="AG29"/>
      <c r="AH29"/>
      <c r="AI29"/>
      <c r="AJ29"/>
      <c r="AK29"/>
      <c r="AL29"/>
    </row>
    <row r="30" spans="1:38" ht="15.75" customHeight="1">
      <c r="A30" s="98" t="s">
        <v>597</v>
      </c>
      <c r="B30" s="98" t="s">
        <v>608</v>
      </c>
      <c r="C30" s="98" t="s">
        <v>12</v>
      </c>
      <c r="E30"/>
      <c r="F30" t="s">
        <v>606</v>
      </c>
      <c r="G30"/>
      <c r="H30"/>
      <c r="I30"/>
      <c r="J30"/>
      <c r="K30"/>
      <c r="L30"/>
      <c r="M30"/>
      <c r="N30"/>
      <c r="O30"/>
      <c r="P30"/>
      <c r="Q30"/>
      <c r="R30"/>
      <c r="S30"/>
      <c r="T30"/>
      <c r="U30"/>
      <c r="V30"/>
      <c r="W30"/>
      <c r="X30"/>
      <c r="Y30"/>
      <c r="Z30"/>
      <c r="AA30"/>
      <c r="AB30"/>
      <c r="AC30"/>
      <c r="AD30"/>
      <c r="AE30"/>
      <c r="AF30"/>
      <c r="AG30"/>
      <c r="AH30"/>
      <c r="AI30"/>
      <c r="AJ30"/>
      <c r="AK30"/>
      <c r="AL30"/>
    </row>
    <row r="31" spans="1:38" ht="15.75" customHeight="1">
      <c r="A31" s="98" t="s">
        <v>597</v>
      </c>
      <c r="B31" s="98" t="s">
        <v>609</v>
      </c>
      <c r="C31" s="98" t="s">
        <v>12</v>
      </c>
      <c r="E31"/>
      <c r="F31" t="s">
        <v>607</v>
      </c>
      <c r="G31"/>
      <c r="H31"/>
      <c r="I31"/>
      <c r="J31"/>
      <c r="K31"/>
      <c r="L31"/>
      <c r="M31"/>
      <c r="N31"/>
      <c r="O31"/>
      <c r="P31"/>
      <c r="Q31"/>
      <c r="R31"/>
      <c r="S31"/>
      <c r="T31"/>
      <c r="U31"/>
      <c r="V31"/>
      <c r="W31"/>
      <c r="X31"/>
      <c r="Y31"/>
      <c r="Z31"/>
      <c r="AA31"/>
      <c r="AB31"/>
      <c r="AC31"/>
      <c r="AD31"/>
      <c r="AE31"/>
      <c r="AF31"/>
      <c r="AG31"/>
      <c r="AH31"/>
      <c r="AI31"/>
      <c r="AJ31"/>
      <c r="AK31"/>
      <c r="AL31"/>
    </row>
    <row r="32" spans="1:38" ht="15.75" customHeight="1">
      <c r="A32" s="98" t="s">
        <v>597</v>
      </c>
      <c r="B32" s="98" t="s">
        <v>610</v>
      </c>
      <c r="C32" s="98" t="s">
        <v>12</v>
      </c>
      <c r="E32"/>
      <c r="F32" t="s">
        <v>608</v>
      </c>
      <c r="G32"/>
      <c r="H32"/>
      <c r="I32"/>
      <c r="J32"/>
      <c r="K32"/>
      <c r="L32"/>
      <c r="M32"/>
      <c r="N32"/>
      <c r="O32"/>
      <c r="P32"/>
      <c r="Q32"/>
      <c r="R32"/>
      <c r="S32"/>
      <c r="T32"/>
      <c r="U32"/>
      <c r="V32"/>
      <c r="W32"/>
      <c r="X32"/>
      <c r="Y32"/>
      <c r="Z32"/>
      <c r="AA32"/>
      <c r="AB32"/>
      <c r="AC32"/>
      <c r="AD32"/>
      <c r="AE32"/>
      <c r="AF32"/>
      <c r="AG32"/>
      <c r="AH32"/>
      <c r="AI32"/>
      <c r="AJ32"/>
      <c r="AK32"/>
      <c r="AL32"/>
    </row>
    <row r="33" spans="1:38" ht="15.75" customHeight="1">
      <c r="A33" s="98" t="s">
        <v>597</v>
      </c>
      <c r="B33" s="98" t="s">
        <v>611</v>
      </c>
      <c r="C33" s="98" t="s">
        <v>12</v>
      </c>
      <c r="E33"/>
      <c r="F33" t="s">
        <v>609</v>
      </c>
      <c r="G33"/>
      <c r="H33"/>
      <c r="I33"/>
      <c r="J33"/>
      <c r="K33"/>
      <c r="L33"/>
      <c r="M33"/>
      <c r="N33"/>
      <c r="O33"/>
      <c r="P33"/>
      <c r="Q33"/>
      <c r="R33"/>
      <c r="S33"/>
      <c r="T33"/>
      <c r="U33"/>
      <c r="V33"/>
      <c r="W33"/>
      <c r="X33"/>
      <c r="Y33"/>
      <c r="Z33"/>
      <c r="AA33"/>
      <c r="AB33"/>
      <c r="AC33"/>
      <c r="AD33"/>
      <c r="AE33"/>
      <c r="AF33"/>
      <c r="AG33"/>
      <c r="AH33"/>
      <c r="AI33"/>
      <c r="AJ33"/>
      <c r="AK33"/>
      <c r="AL33"/>
    </row>
    <row r="34" spans="1:38" ht="15.75" customHeight="1">
      <c r="A34" s="98" t="s">
        <v>597</v>
      </c>
      <c r="B34" s="98" t="s">
        <v>612</v>
      </c>
      <c r="C34" s="98" t="s">
        <v>12</v>
      </c>
      <c r="E34"/>
      <c r="F34" t="s">
        <v>610</v>
      </c>
      <c r="G34"/>
      <c r="H34"/>
      <c r="I34"/>
      <c r="J34"/>
      <c r="K34"/>
      <c r="L34"/>
      <c r="M34"/>
      <c r="N34"/>
      <c r="O34"/>
      <c r="P34"/>
      <c r="Q34"/>
      <c r="R34"/>
      <c r="S34"/>
      <c r="T34"/>
      <c r="U34"/>
      <c r="V34"/>
      <c r="W34"/>
      <c r="X34"/>
      <c r="Y34"/>
      <c r="Z34"/>
      <c r="AA34"/>
      <c r="AB34"/>
      <c r="AC34"/>
      <c r="AD34"/>
      <c r="AE34"/>
      <c r="AF34"/>
      <c r="AG34"/>
      <c r="AH34"/>
      <c r="AI34"/>
      <c r="AJ34"/>
      <c r="AK34"/>
      <c r="AL34"/>
    </row>
    <row r="35" spans="1:38" ht="15.75" customHeight="1">
      <c r="A35" s="98" t="s">
        <v>597</v>
      </c>
      <c r="B35" s="98" t="s">
        <v>613</v>
      </c>
      <c r="C35" s="98" t="s">
        <v>12</v>
      </c>
      <c r="E35"/>
      <c r="F35" t="s">
        <v>611</v>
      </c>
      <c r="G35"/>
      <c r="H35"/>
      <c r="I35"/>
      <c r="J35"/>
      <c r="K35"/>
      <c r="L35"/>
      <c r="M35"/>
      <c r="N35"/>
      <c r="O35"/>
      <c r="P35"/>
      <c r="Q35"/>
      <c r="R35"/>
      <c r="S35"/>
      <c r="T35"/>
      <c r="U35"/>
      <c r="V35"/>
      <c r="W35"/>
      <c r="X35"/>
      <c r="Y35"/>
      <c r="Z35"/>
      <c r="AA35"/>
      <c r="AB35"/>
      <c r="AC35"/>
      <c r="AD35"/>
      <c r="AE35"/>
      <c r="AF35"/>
      <c r="AG35"/>
      <c r="AH35"/>
      <c r="AI35"/>
      <c r="AJ35"/>
      <c r="AK35"/>
      <c r="AL35"/>
    </row>
    <row r="36" spans="1:38" ht="15.75" customHeight="1">
      <c r="A36" s="98" t="s">
        <v>597</v>
      </c>
      <c r="B36" s="98" t="s">
        <v>614</v>
      </c>
      <c r="C36" s="98" t="s">
        <v>12</v>
      </c>
      <c r="E36"/>
      <c r="F36" t="s">
        <v>612</v>
      </c>
      <c r="G36"/>
      <c r="H36"/>
      <c r="I36"/>
      <c r="J36"/>
      <c r="K36"/>
      <c r="L36"/>
      <c r="M36"/>
      <c r="N36"/>
      <c r="O36"/>
      <c r="P36"/>
      <c r="Q36"/>
      <c r="R36"/>
      <c r="S36"/>
      <c r="T36"/>
      <c r="U36"/>
      <c r="V36"/>
      <c r="W36"/>
      <c r="X36"/>
      <c r="Y36"/>
      <c r="Z36"/>
      <c r="AA36"/>
      <c r="AB36"/>
      <c r="AC36"/>
      <c r="AD36"/>
      <c r="AE36"/>
      <c r="AF36"/>
      <c r="AG36"/>
      <c r="AH36"/>
      <c r="AI36"/>
      <c r="AJ36"/>
      <c r="AK36"/>
      <c r="AL36"/>
    </row>
    <row r="37" spans="1:38" ht="15.75" customHeight="1">
      <c r="A37" s="98" t="s">
        <v>597</v>
      </c>
      <c r="B37" s="98" t="s">
        <v>615</v>
      </c>
      <c r="C37" s="98" t="s">
        <v>12</v>
      </c>
      <c r="E37"/>
      <c r="F37" t="s">
        <v>613</v>
      </c>
      <c r="G37"/>
      <c r="H37"/>
      <c r="I37"/>
      <c r="J37"/>
      <c r="K37"/>
      <c r="L37"/>
      <c r="M37"/>
      <c r="N37"/>
      <c r="O37"/>
      <c r="P37"/>
      <c r="Q37"/>
      <c r="R37"/>
      <c r="S37"/>
      <c r="T37"/>
      <c r="U37"/>
      <c r="V37"/>
      <c r="W37"/>
      <c r="X37"/>
      <c r="Y37"/>
      <c r="Z37"/>
      <c r="AA37"/>
      <c r="AB37"/>
      <c r="AC37"/>
      <c r="AD37"/>
      <c r="AE37"/>
      <c r="AF37"/>
      <c r="AG37"/>
      <c r="AH37"/>
      <c r="AI37"/>
      <c r="AJ37"/>
      <c r="AK37"/>
      <c r="AL37"/>
    </row>
    <row r="38" spans="1:38" ht="15.75" customHeight="1">
      <c r="A38" s="98" t="s">
        <v>597</v>
      </c>
      <c r="B38" s="98" t="s">
        <v>616</v>
      </c>
      <c r="C38" s="98" t="s">
        <v>12</v>
      </c>
      <c r="E38"/>
      <c r="F38" t="s">
        <v>614</v>
      </c>
      <c r="G38"/>
      <c r="H38"/>
      <c r="I38"/>
      <c r="J38"/>
      <c r="K38"/>
      <c r="L38"/>
      <c r="M38"/>
      <c r="N38"/>
      <c r="O38"/>
      <c r="P38"/>
      <c r="Q38"/>
      <c r="R38"/>
      <c r="S38"/>
      <c r="T38"/>
      <c r="U38"/>
      <c r="V38"/>
      <c r="W38"/>
      <c r="X38"/>
      <c r="Y38"/>
      <c r="Z38"/>
      <c r="AA38"/>
      <c r="AB38"/>
      <c r="AC38"/>
      <c r="AD38"/>
      <c r="AE38"/>
      <c r="AF38"/>
      <c r="AG38"/>
      <c r="AH38"/>
      <c r="AI38"/>
      <c r="AJ38"/>
      <c r="AK38"/>
      <c r="AL38"/>
    </row>
    <row r="39" spans="1:38" ht="15.75" customHeight="1">
      <c r="A39" s="98" t="s">
        <v>597</v>
      </c>
      <c r="B39" s="98" t="s">
        <v>617</v>
      </c>
      <c r="C39" s="98" t="s">
        <v>12</v>
      </c>
      <c r="E39"/>
      <c r="F39" t="s">
        <v>615</v>
      </c>
      <c r="G39"/>
      <c r="H39"/>
      <c r="I39"/>
      <c r="J39"/>
      <c r="K39"/>
      <c r="L39"/>
      <c r="M39"/>
      <c r="N39"/>
      <c r="O39"/>
      <c r="P39"/>
      <c r="Q39"/>
      <c r="R39"/>
      <c r="S39"/>
      <c r="T39"/>
      <c r="U39"/>
      <c r="V39"/>
      <c r="W39"/>
      <c r="X39"/>
      <c r="Y39"/>
      <c r="Z39"/>
      <c r="AA39"/>
      <c r="AB39"/>
      <c r="AC39"/>
      <c r="AD39"/>
      <c r="AE39"/>
      <c r="AF39"/>
      <c r="AG39"/>
      <c r="AH39"/>
      <c r="AI39"/>
      <c r="AJ39"/>
      <c r="AK39"/>
      <c r="AL39"/>
    </row>
    <row r="40" spans="1:38" ht="15.75" customHeight="1">
      <c r="A40" s="98" t="s">
        <v>597</v>
      </c>
      <c r="B40" s="98" t="s">
        <v>618</v>
      </c>
      <c r="C40" s="98" t="s">
        <v>12</v>
      </c>
      <c r="E40"/>
      <c r="F40" t="s">
        <v>616</v>
      </c>
      <c r="G40"/>
      <c r="H40"/>
      <c r="I40"/>
      <c r="J40"/>
      <c r="K40"/>
      <c r="L40"/>
      <c r="M40"/>
      <c r="N40"/>
      <c r="O40"/>
      <c r="P40"/>
      <c r="Q40"/>
      <c r="R40"/>
      <c r="S40"/>
      <c r="T40"/>
      <c r="U40"/>
      <c r="V40"/>
      <c r="W40"/>
      <c r="X40"/>
      <c r="Y40"/>
      <c r="Z40"/>
      <c r="AA40"/>
      <c r="AB40"/>
      <c r="AC40"/>
      <c r="AD40"/>
      <c r="AE40"/>
      <c r="AF40"/>
      <c r="AG40"/>
      <c r="AH40"/>
      <c r="AI40"/>
      <c r="AJ40"/>
      <c r="AK40"/>
      <c r="AL40"/>
    </row>
    <row r="41" spans="1:38" ht="15.75" customHeight="1">
      <c r="A41" s="98" t="s">
        <v>597</v>
      </c>
      <c r="B41" s="98" t="s">
        <v>619</v>
      </c>
      <c r="C41" s="98" t="s">
        <v>12</v>
      </c>
      <c r="E41"/>
      <c r="F41" t="s">
        <v>617</v>
      </c>
      <c r="G41"/>
      <c r="H41"/>
      <c r="I41"/>
      <c r="J41"/>
      <c r="K41"/>
      <c r="L41"/>
      <c r="M41"/>
      <c r="N41"/>
      <c r="O41"/>
      <c r="P41"/>
      <c r="Q41"/>
      <c r="R41"/>
      <c r="S41"/>
      <c r="T41"/>
      <c r="U41"/>
      <c r="V41"/>
      <c r="W41"/>
      <c r="X41"/>
      <c r="Y41"/>
      <c r="Z41"/>
      <c r="AA41"/>
      <c r="AB41"/>
      <c r="AC41"/>
      <c r="AD41"/>
      <c r="AE41"/>
      <c r="AF41"/>
      <c r="AG41"/>
      <c r="AH41"/>
      <c r="AI41"/>
      <c r="AJ41"/>
      <c r="AK41"/>
      <c r="AL41"/>
    </row>
    <row r="42" spans="1:38" ht="15.75" customHeight="1">
      <c r="A42" s="98" t="s">
        <v>597</v>
      </c>
      <c r="B42" s="98" t="s">
        <v>620</v>
      </c>
      <c r="C42" s="98" t="s">
        <v>12</v>
      </c>
      <c r="E42"/>
      <c r="F42" t="s">
        <v>618</v>
      </c>
      <c r="G42"/>
      <c r="H42"/>
      <c r="I42"/>
      <c r="J42"/>
      <c r="K42"/>
      <c r="L42"/>
      <c r="M42"/>
      <c r="N42"/>
      <c r="O42"/>
      <c r="P42"/>
      <c r="Q42"/>
      <c r="R42"/>
      <c r="S42"/>
      <c r="T42"/>
      <c r="U42"/>
      <c r="V42"/>
      <c r="W42"/>
      <c r="X42"/>
      <c r="Y42"/>
      <c r="Z42"/>
      <c r="AA42"/>
      <c r="AB42"/>
      <c r="AC42"/>
      <c r="AD42"/>
      <c r="AE42"/>
      <c r="AF42"/>
      <c r="AG42"/>
      <c r="AH42"/>
      <c r="AI42"/>
      <c r="AJ42"/>
      <c r="AK42"/>
      <c r="AL42"/>
    </row>
    <row r="43" spans="1:38" ht="15.75" customHeight="1">
      <c r="A43" s="98" t="s">
        <v>597</v>
      </c>
      <c r="B43" s="98" t="s">
        <v>621</v>
      </c>
      <c r="C43" s="98" t="s">
        <v>12</v>
      </c>
      <c r="E43"/>
      <c r="F43" t="s">
        <v>619</v>
      </c>
      <c r="G43"/>
      <c r="H43"/>
      <c r="I43"/>
      <c r="J43"/>
      <c r="K43"/>
      <c r="L43"/>
      <c r="M43"/>
      <c r="N43"/>
      <c r="O43"/>
      <c r="P43"/>
      <c r="Q43"/>
      <c r="R43"/>
      <c r="S43"/>
      <c r="T43"/>
      <c r="U43"/>
      <c r="V43"/>
      <c r="W43"/>
      <c r="X43"/>
      <c r="Y43"/>
      <c r="Z43"/>
      <c r="AA43"/>
      <c r="AB43"/>
      <c r="AC43"/>
      <c r="AD43"/>
      <c r="AE43"/>
      <c r="AF43"/>
      <c r="AG43"/>
      <c r="AH43"/>
      <c r="AI43"/>
      <c r="AJ43"/>
      <c r="AK43"/>
      <c r="AL43"/>
    </row>
    <row r="44" spans="1:38" ht="15.75" customHeight="1">
      <c r="A44" s="98" t="s">
        <v>597</v>
      </c>
      <c r="B44" s="98" t="s">
        <v>622</v>
      </c>
      <c r="C44" s="98" t="s">
        <v>12</v>
      </c>
      <c r="E44"/>
      <c r="F44" t="s">
        <v>620</v>
      </c>
      <c r="G44"/>
      <c r="H44"/>
      <c r="I44"/>
      <c r="J44"/>
      <c r="K44"/>
      <c r="L44"/>
      <c r="M44"/>
      <c r="N44"/>
      <c r="O44"/>
      <c r="P44"/>
      <c r="Q44"/>
      <c r="R44"/>
      <c r="S44"/>
      <c r="T44"/>
      <c r="U44"/>
      <c r="V44"/>
      <c r="W44"/>
      <c r="X44"/>
      <c r="Y44"/>
      <c r="Z44"/>
      <c r="AA44"/>
      <c r="AB44"/>
      <c r="AC44"/>
      <c r="AD44"/>
      <c r="AE44"/>
      <c r="AF44"/>
      <c r="AG44"/>
      <c r="AH44"/>
      <c r="AI44"/>
      <c r="AJ44"/>
      <c r="AK44"/>
      <c r="AL44"/>
    </row>
    <row r="45" spans="1:38" ht="15.75" customHeight="1">
      <c r="A45" s="98" t="s">
        <v>623</v>
      </c>
      <c r="B45" s="98" t="s">
        <v>624</v>
      </c>
      <c r="C45" s="98" t="s">
        <v>12</v>
      </c>
      <c r="E45"/>
      <c r="F45" t="s">
        <v>621</v>
      </c>
      <c r="G45"/>
      <c r="H45"/>
      <c r="I45"/>
      <c r="J45"/>
      <c r="K45"/>
      <c r="L45"/>
      <c r="M45"/>
      <c r="N45"/>
      <c r="O45"/>
      <c r="P45"/>
      <c r="Q45"/>
      <c r="R45"/>
      <c r="S45"/>
      <c r="T45"/>
      <c r="U45"/>
      <c r="V45"/>
      <c r="W45"/>
      <c r="X45"/>
      <c r="Y45"/>
      <c r="Z45"/>
      <c r="AA45"/>
      <c r="AB45"/>
      <c r="AC45"/>
      <c r="AD45"/>
      <c r="AE45"/>
      <c r="AF45"/>
      <c r="AG45"/>
      <c r="AH45"/>
      <c r="AI45"/>
      <c r="AJ45"/>
      <c r="AK45"/>
      <c r="AL45"/>
    </row>
    <row r="46" spans="1:38" ht="15.75" customHeight="1">
      <c r="A46" s="98" t="s">
        <v>623</v>
      </c>
      <c r="B46" s="98" t="s">
        <v>625</v>
      </c>
      <c r="C46" s="98" t="s">
        <v>12</v>
      </c>
      <c r="E46"/>
      <c r="F46" t="s">
        <v>622</v>
      </c>
      <c r="G46"/>
      <c r="H46"/>
      <c r="I46"/>
      <c r="J46"/>
      <c r="K46"/>
      <c r="L46"/>
      <c r="M46"/>
      <c r="N46"/>
      <c r="O46"/>
      <c r="P46"/>
      <c r="Q46"/>
      <c r="R46"/>
      <c r="S46"/>
      <c r="T46"/>
      <c r="U46"/>
      <c r="V46"/>
      <c r="W46"/>
      <c r="X46"/>
      <c r="Y46"/>
      <c r="Z46"/>
      <c r="AA46"/>
      <c r="AB46"/>
      <c r="AC46"/>
      <c r="AD46"/>
      <c r="AE46"/>
      <c r="AF46"/>
      <c r="AG46"/>
      <c r="AH46"/>
      <c r="AI46"/>
      <c r="AJ46"/>
      <c r="AK46"/>
      <c r="AL46"/>
    </row>
    <row r="47" spans="1:38" ht="15.75" customHeight="1">
      <c r="A47" s="98" t="s">
        <v>623</v>
      </c>
      <c r="B47" s="98" t="s">
        <v>626</v>
      </c>
      <c r="C47" s="98" t="s">
        <v>12</v>
      </c>
      <c r="E47" t="s">
        <v>1345</v>
      </c>
      <c r="F47"/>
      <c r="G47"/>
      <c r="H47"/>
      <c r="I47"/>
      <c r="J47"/>
      <c r="K47"/>
      <c r="L47"/>
      <c r="M47"/>
      <c r="N47"/>
      <c r="O47"/>
      <c r="P47"/>
      <c r="Q47"/>
      <c r="R47"/>
      <c r="S47"/>
      <c r="T47"/>
      <c r="U47"/>
      <c r="V47"/>
      <c r="W47"/>
      <c r="X47"/>
      <c r="Y47"/>
      <c r="Z47"/>
      <c r="AA47"/>
      <c r="AB47"/>
      <c r="AC47"/>
      <c r="AD47"/>
      <c r="AE47"/>
      <c r="AF47"/>
      <c r="AG47"/>
      <c r="AH47"/>
      <c r="AI47"/>
      <c r="AJ47"/>
      <c r="AK47"/>
      <c r="AL47"/>
    </row>
    <row r="48" spans="1:38" ht="15.75" customHeight="1">
      <c r="A48" s="98" t="s">
        <v>623</v>
      </c>
      <c r="B48" s="98" t="s">
        <v>627</v>
      </c>
      <c r="C48" s="98" t="s">
        <v>12</v>
      </c>
      <c r="E48" t="s">
        <v>623</v>
      </c>
      <c r="F48" t="s">
        <v>624</v>
      </c>
      <c r="G48"/>
      <c r="H48"/>
      <c r="I48"/>
      <c r="J48"/>
      <c r="K48"/>
      <c r="L48"/>
      <c r="M48"/>
      <c r="N48"/>
      <c r="O48"/>
      <c r="P48"/>
      <c r="Q48"/>
      <c r="R48"/>
      <c r="S48"/>
      <c r="T48"/>
      <c r="U48"/>
      <c r="V48"/>
      <c r="W48"/>
      <c r="X48"/>
      <c r="Y48"/>
      <c r="Z48"/>
      <c r="AA48"/>
      <c r="AB48"/>
      <c r="AC48"/>
      <c r="AD48"/>
      <c r="AE48"/>
      <c r="AF48"/>
      <c r="AG48"/>
      <c r="AH48"/>
      <c r="AI48"/>
      <c r="AJ48"/>
      <c r="AK48"/>
      <c r="AL48"/>
    </row>
    <row r="49" spans="1:38" ht="15.75" customHeight="1">
      <c r="A49" s="98" t="s">
        <v>623</v>
      </c>
      <c r="B49" s="98" t="s">
        <v>628</v>
      </c>
      <c r="C49" s="98" t="s">
        <v>12</v>
      </c>
      <c r="E49"/>
      <c r="F49" t="s">
        <v>625</v>
      </c>
      <c r="G49"/>
      <c r="H49"/>
      <c r="I49"/>
      <c r="J49"/>
      <c r="K49"/>
      <c r="L49"/>
      <c r="M49"/>
      <c r="N49"/>
      <c r="O49"/>
      <c r="P49"/>
      <c r="Q49"/>
      <c r="R49"/>
      <c r="S49"/>
      <c r="T49"/>
      <c r="U49"/>
      <c r="V49"/>
      <c r="W49"/>
      <c r="X49"/>
      <c r="Y49"/>
      <c r="Z49"/>
      <c r="AA49"/>
      <c r="AB49"/>
      <c r="AC49"/>
      <c r="AD49"/>
      <c r="AE49"/>
      <c r="AF49"/>
      <c r="AG49"/>
      <c r="AH49"/>
      <c r="AI49"/>
      <c r="AJ49"/>
      <c r="AK49"/>
      <c r="AL49"/>
    </row>
    <row r="50" spans="1:38" ht="15.75" customHeight="1">
      <c r="A50" s="98" t="s">
        <v>623</v>
      </c>
      <c r="B50" s="98" t="s">
        <v>629</v>
      </c>
      <c r="C50" s="98" t="s">
        <v>12</v>
      </c>
      <c r="E50"/>
      <c r="F50" t="s">
        <v>626</v>
      </c>
      <c r="G50"/>
      <c r="H50"/>
      <c r="I50"/>
      <c r="J50"/>
      <c r="K50"/>
      <c r="L50"/>
      <c r="M50"/>
      <c r="N50"/>
      <c r="O50"/>
      <c r="P50"/>
      <c r="Q50"/>
      <c r="R50"/>
      <c r="S50"/>
      <c r="T50"/>
      <c r="U50"/>
      <c r="V50"/>
      <c r="W50"/>
      <c r="X50"/>
      <c r="Y50"/>
      <c r="Z50"/>
      <c r="AA50"/>
      <c r="AB50"/>
      <c r="AC50"/>
      <c r="AD50"/>
      <c r="AE50"/>
      <c r="AF50"/>
      <c r="AG50"/>
      <c r="AH50"/>
      <c r="AI50"/>
      <c r="AJ50"/>
      <c r="AK50"/>
      <c r="AL50"/>
    </row>
    <row r="51" spans="1:38" ht="15.75" customHeight="1">
      <c r="A51" s="98" t="s">
        <v>623</v>
      </c>
      <c r="B51" s="98" t="s">
        <v>630</v>
      </c>
      <c r="C51" s="98" t="s">
        <v>12</v>
      </c>
      <c r="E51"/>
      <c r="F51" t="s">
        <v>627</v>
      </c>
      <c r="G51"/>
      <c r="H51"/>
      <c r="I51"/>
      <c r="J51"/>
      <c r="K51"/>
      <c r="L51"/>
      <c r="M51"/>
      <c r="N51"/>
      <c r="O51"/>
      <c r="P51"/>
      <c r="Q51"/>
      <c r="R51"/>
      <c r="S51"/>
      <c r="T51"/>
      <c r="U51"/>
      <c r="V51"/>
      <c r="W51"/>
      <c r="X51"/>
      <c r="Y51"/>
      <c r="Z51"/>
      <c r="AA51"/>
      <c r="AB51"/>
      <c r="AC51"/>
      <c r="AD51"/>
      <c r="AE51"/>
      <c r="AF51"/>
      <c r="AG51"/>
      <c r="AH51"/>
      <c r="AI51"/>
      <c r="AJ51"/>
      <c r="AK51"/>
      <c r="AL51"/>
    </row>
    <row r="52" spans="1:38" ht="15.75" customHeight="1">
      <c r="A52" s="98" t="s">
        <v>623</v>
      </c>
      <c r="B52" s="98" t="s">
        <v>631</v>
      </c>
      <c r="C52" s="98" t="s">
        <v>12</v>
      </c>
      <c r="E52"/>
      <c r="F52" t="s">
        <v>628</v>
      </c>
      <c r="G52"/>
      <c r="H52"/>
      <c r="I52"/>
      <c r="J52"/>
      <c r="K52"/>
      <c r="L52"/>
      <c r="M52"/>
      <c r="N52"/>
      <c r="O52"/>
      <c r="P52"/>
      <c r="Q52"/>
      <c r="R52"/>
      <c r="S52"/>
      <c r="T52"/>
      <c r="U52"/>
      <c r="V52"/>
      <c r="W52"/>
      <c r="X52"/>
      <c r="Y52"/>
      <c r="Z52"/>
      <c r="AA52"/>
      <c r="AB52"/>
      <c r="AC52"/>
      <c r="AD52"/>
      <c r="AE52"/>
      <c r="AF52"/>
      <c r="AG52"/>
      <c r="AH52"/>
      <c r="AI52"/>
      <c r="AJ52"/>
      <c r="AK52"/>
      <c r="AL52"/>
    </row>
    <row r="53" spans="1:38" ht="15.75" customHeight="1">
      <c r="A53" s="98" t="s">
        <v>623</v>
      </c>
      <c r="B53" s="98" t="s">
        <v>632</v>
      </c>
      <c r="C53" s="98" t="s">
        <v>12</v>
      </c>
      <c r="E53"/>
      <c r="F53" t="s">
        <v>629</v>
      </c>
      <c r="G53"/>
      <c r="H53"/>
      <c r="I53"/>
      <c r="J53"/>
      <c r="K53"/>
      <c r="L53"/>
      <c r="M53"/>
      <c r="N53"/>
      <c r="O53"/>
      <c r="P53"/>
      <c r="Q53"/>
      <c r="R53"/>
      <c r="S53"/>
      <c r="T53"/>
      <c r="U53"/>
      <c r="V53"/>
      <c r="W53"/>
      <c r="X53"/>
      <c r="Y53"/>
      <c r="Z53"/>
      <c r="AA53"/>
      <c r="AB53"/>
      <c r="AC53"/>
      <c r="AD53"/>
      <c r="AE53"/>
      <c r="AF53"/>
      <c r="AG53"/>
      <c r="AH53"/>
      <c r="AI53"/>
      <c r="AJ53"/>
      <c r="AK53"/>
      <c r="AL53"/>
    </row>
    <row r="54" spans="1:38" ht="15.75" customHeight="1">
      <c r="A54" s="98" t="s">
        <v>623</v>
      </c>
      <c r="B54" s="98" t="s">
        <v>633</v>
      </c>
      <c r="C54" s="98" t="s">
        <v>12</v>
      </c>
      <c r="E54"/>
      <c r="F54" t="s">
        <v>630</v>
      </c>
      <c r="G54"/>
      <c r="H54"/>
      <c r="I54"/>
      <c r="J54"/>
      <c r="K54"/>
      <c r="L54"/>
      <c r="M54"/>
      <c r="N54"/>
      <c r="O54"/>
      <c r="P54"/>
      <c r="Q54"/>
      <c r="R54"/>
      <c r="S54"/>
      <c r="T54"/>
      <c r="U54"/>
      <c r="V54"/>
      <c r="W54"/>
      <c r="X54"/>
      <c r="Y54"/>
      <c r="Z54"/>
      <c r="AA54"/>
      <c r="AB54"/>
      <c r="AC54"/>
      <c r="AD54"/>
      <c r="AE54"/>
      <c r="AF54"/>
      <c r="AG54"/>
      <c r="AH54"/>
      <c r="AI54"/>
      <c r="AJ54"/>
      <c r="AK54"/>
      <c r="AL54"/>
    </row>
    <row r="55" spans="1:38" ht="15.75" customHeight="1">
      <c r="A55" s="98" t="s">
        <v>623</v>
      </c>
      <c r="B55" s="98" t="s">
        <v>634</v>
      </c>
      <c r="C55" s="98" t="s">
        <v>12</v>
      </c>
      <c r="E55"/>
      <c r="F55" t="s">
        <v>631</v>
      </c>
      <c r="G55"/>
      <c r="H55"/>
      <c r="I55"/>
      <c r="J55"/>
      <c r="K55"/>
      <c r="L55"/>
      <c r="M55"/>
      <c r="N55"/>
      <c r="O55"/>
      <c r="P55"/>
      <c r="Q55"/>
      <c r="R55"/>
      <c r="S55"/>
      <c r="T55"/>
      <c r="U55"/>
      <c r="V55"/>
      <c r="W55"/>
      <c r="X55"/>
      <c r="Y55"/>
      <c r="Z55"/>
      <c r="AA55"/>
      <c r="AB55"/>
      <c r="AC55"/>
      <c r="AD55"/>
      <c r="AE55"/>
      <c r="AF55"/>
      <c r="AG55"/>
      <c r="AH55"/>
      <c r="AI55"/>
      <c r="AJ55"/>
      <c r="AK55"/>
      <c r="AL55"/>
    </row>
    <row r="56" spans="1:38" ht="15.75" customHeight="1">
      <c r="A56" s="98" t="s">
        <v>623</v>
      </c>
      <c r="B56" s="98" t="s">
        <v>635</v>
      </c>
      <c r="C56" s="98" t="s">
        <v>12</v>
      </c>
      <c r="E56"/>
      <c r="F56" t="s">
        <v>632</v>
      </c>
      <c r="G56"/>
      <c r="H56"/>
      <c r="I56"/>
      <c r="J56"/>
      <c r="K56"/>
      <c r="L56"/>
      <c r="M56"/>
      <c r="N56"/>
      <c r="O56"/>
      <c r="P56"/>
      <c r="Q56"/>
      <c r="R56"/>
      <c r="S56"/>
      <c r="T56"/>
      <c r="U56"/>
      <c r="V56"/>
      <c r="W56"/>
      <c r="X56"/>
      <c r="Y56"/>
      <c r="Z56"/>
      <c r="AA56"/>
      <c r="AB56"/>
      <c r="AC56"/>
      <c r="AD56"/>
      <c r="AE56"/>
      <c r="AF56"/>
      <c r="AG56"/>
      <c r="AH56"/>
      <c r="AI56"/>
      <c r="AJ56"/>
      <c r="AK56"/>
      <c r="AL56"/>
    </row>
    <row r="57" spans="1:38" ht="15.75" customHeight="1">
      <c r="A57" s="98" t="s">
        <v>623</v>
      </c>
      <c r="B57" s="98" t="s">
        <v>636</v>
      </c>
      <c r="C57" s="98" t="s">
        <v>12</v>
      </c>
      <c r="E57"/>
      <c r="F57" t="s">
        <v>633</v>
      </c>
      <c r="G57"/>
      <c r="H57"/>
      <c r="I57"/>
      <c r="J57"/>
      <c r="K57"/>
      <c r="L57"/>
      <c r="M57"/>
      <c r="N57"/>
      <c r="O57"/>
      <c r="P57"/>
      <c r="Q57"/>
      <c r="R57"/>
      <c r="S57"/>
      <c r="T57"/>
      <c r="U57"/>
      <c r="V57"/>
      <c r="W57"/>
      <c r="X57"/>
      <c r="Y57"/>
      <c r="Z57"/>
      <c r="AA57"/>
      <c r="AB57"/>
      <c r="AC57"/>
      <c r="AD57"/>
      <c r="AE57"/>
      <c r="AF57"/>
      <c r="AG57"/>
      <c r="AH57"/>
      <c r="AI57"/>
      <c r="AJ57"/>
      <c r="AK57"/>
      <c r="AL57"/>
    </row>
    <row r="58" spans="1:38" ht="15.75" customHeight="1">
      <c r="A58" s="98" t="s">
        <v>623</v>
      </c>
      <c r="B58" s="98" t="s">
        <v>637</v>
      </c>
      <c r="C58" s="98" t="s">
        <v>12</v>
      </c>
      <c r="E58"/>
      <c r="F58" t="s">
        <v>634</v>
      </c>
      <c r="G58"/>
      <c r="H58"/>
      <c r="I58"/>
      <c r="J58"/>
      <c r="K58"/>
      <c r="L58"/>
      <c r="M58"/>
      <c r="N58"/>
      <c r="O58"/>
      <c r="P58"/>
      <c r="Q58"/>
      <c r="R58"/>
      <c r="S58"/>
      <c r="T58"/>
      <c r="U58"/>
      <c r="V58"/>
      <c r="W58"/>
      <c r="X58"/>
      <c r="Y58"/>
      <c r="Z58"/>
      <c r="AA58"/>
      <c r="AB58"/>
      <c r="AC58"/>
      <c r="AD58"/>
      <c r="AE58"/>
      <c r="AF58"/>
      <c r="AG58"/>
      <c r="AH58"/>
      <c r="AI58"/>
      <c r="AJ58"/>
      <c r="AK58"/>
      <c r="AL58"/>
    </row>
    <row r="59" spans="1:38" ht="15.75" customHeight="1">
      <c r="A59" s="98" t="s">
        <v>623</v>
      </c>
      <c r="B59" s="98" t="s">
        <v>638</v>
      </c>
      <c r="C59" s="98" t="s">
        <v>12</v>
      </c>
      <c r="E59"/>
      <c r="F59" t="s">
        <v>635</v>
      </c>
      <c r="G59"/>
      <c r="H59"/>
      <c r="I59"/>
      <c r="J59"/>
      <c r="K59"/>
      <c r="L59"/>
      <c r="M59"/>
      <c r="N59"/>
      <c r="O59"/>
      <c r="P59"/>
      <c r="Q59"/>
      <c r="R59"/>
      <c r="S59"/>
      <c r="T59"/>
      <c r="U59"/>
      <c r="V59"/>
      <c r="W59"/>
      <c r="X59"/>
      <c r="Y59"/>
      <c r="Z59"/>
      <c r="AA59"/>
      <c r="AB59"/>
      <c r="AC59"/>
      <c r="AD59"/>
      <c r="AE59"/>
      <c r="AF59"/>
      <c r="AG59"/>
      <c r="AH59"/>
      <c r="AI59"/>
      <c r="AJ59"/>
      <c r="AK59"/>
      <c r="AL59"/>
    </row>
    <row r="60" spans="1:38" ht="15.75" customHeight="1">
      <c r="A60" s="98" t="s">
        <v>623</v>
      </c>
      <c r="B60" s="98" t="s">
        <v>639</v>
      </c>
      <c r="C60" s="98" t="s">
        <v>12</v>
      </c>
      <c r="E60"/>
      <c r="F60" t="s">
        <v>636</v>
      </c>
      <c r="G60"/>
      <c r="H60"/>
      <c r="I60"/>
      <c r="J60"/>
      <c r="K60"/>
      <c r="L60"/>
      <c r="M60"/>
      <c r="N60"/>
      <c r="O60"/>
      <c r="P60"/>
      <c r="Q60"/>
      <c r="R60"/>
      <c r="S60"/>
      <c r="T60"/>
      <c r="U60"/>
      <c r="V60"/>
      <c r="W60"/>
      <c r="X60"/>
      <c r="Y60"/>
      <c r="Z60"/>
      <c r="AA60"/>
      <c r="AB60"/>
      <c r="AC60"/>
      <c r="AD60"/>
      <c r="AE60"/>
      <c r="AF60"/>
      <c r="AG60"/>
      <c r="AH60"/>
      <c r="AI60"/>
      <c r="AJ60"/>
      <c r="AK60"/>
      <c r="AL60"/>
    </row>
    <row r="61" spans="1:38" ht="15.75" customHeight="1">
      <c r="A61" s="98" t="s">
        <v>623</v>
      </c>
      <c r="B61" s="98" t="s">
        <v>640</v>
      </c>
      <c r="C61" s="98" t="s">
        <v>12</v>
      </c>
      <c r="E61"/>
      <c r="F61" t="s">
        <v>637</v>
      </c>
      <c r="G61"/>
      <c r="H61"/>
      <c r="I61"/>
      <c r="J61"/>
      <c r="K61"/>
      <c r="L61"/>
      <c r="M61"/>
      <c r="N61"/>
      <c r="O61"/>
      <c r="P61"/>
      <c r="Q61"/>
      <c r="R61"/>
      <c r="S61"/>
      <c r="T61"/>
      <c r="U61"/>
      <c r="V61"/>
      <c r="W61"/>
      <c r="X61"/>
      <c r="Y61"/>
      <c r="Z61"/>
      <c r="AA61"/>
      <c r="AB61"/>
      <c r="AC61"/>
      <c r="AD61"/>
      <c r="AE61"/>
      <c r="AF61"/>
      <c r="AG61"/>
      <c r="AH61"/>
      <c r="AI61"/>
      <c r="AJ61"/>
      <c r="AK61"/>
      <c r="AL61"/>
    </row>
    <row r="62" spans="1:38" ht="15.75" customHeight="1">
      <c r="A62" s="98" t="s">
        <v>623</v>
      </c>
      <c r="B62" s="98" t="s">
        <v>641</v>
      </c>
      <c r="C62" s="98" t="s">
        <v>12</v>
      </c>
      <c r="E62"/>
      <c r="F62" t="s">
        <v>638</v>
      </c>
      <c r="G62"/>
      <c r="H62"/>
      <c r="I62"/>
      <c r="J62"/>
      <c r="K62"/>
      <c r="L62"/>
      <c r="M62"/>
      <c r="N62"/>
      <c r="O62"/>
      <c r="P62"/>
      <c r="Q62"/>
      <c r="R62"/>
      <c r="S62"/>
      <c r="T62"/>
      <c r="U62"/>
      <c r="V62"/>
      <c r="W62"/>
      <c r="X62"/>
      <c r="Y62"/>
      <c r="Z62"/>
      <c r="AA62"/>
      <c r="AB62"/>
      <c r="AC62"/>
      <c r="AD62"/>
      <c r="AE62"/>
      <c r="AF62"/>
      <c r="AG62"/>
      <c r="AH62"/>
      <c r="AI62"/>
      <c r="AJ62"/>
      <c r="AK62"/>
      <c r="AL62"/>
    </row>
    <row r="63" spans="1:38" ht="15.75" customHeight="1">
      <c r="A63" s="98" t="s">
        <v>623</v>
      </c>
      <c r="B63" s="98" t="s">
        <v>642</v>
      </c>
      <c r="C63" s="98" t="s">
        <v>12</v>
      </c>
      <c r="E63"/>
      <c r="F63" t="s">
        <v>639</v>
      </c>
      <c r="G63"/>
      <c r="H63"/>
      <c r="I63"/>
      <c r="J63"/>
      <c r="K63"/>
      <c r="L63"/>
      <c r="M63"/>
      <c r="N63"/>
      <c r="O63"/>
      <c r="P63"/>
      <c r="Q63"/>
      <c r="R63"/>
      <c r="S63"/>
      <c r="T63"/>
      <c r="U63"/>
      <c r="V63"/>
      <c r="W63"/>
      <c r="X63"/>
      <c r="Y63"/>
      <c r="Z63"/>
      <c r="AA63"/>
      <c r="AB63"/>
      <c r="AC63"/>
      <c r="AD63"/>
      <c r="AE63"/>
      <c r="AF63"/>
      <c r="AG63"/>
      <c r="AH63"/>
      <c r="AI63"/>
      <c r="AJ63"/>
      <c r="AK63"/>
      <c r="AL63"/>
    </row>
    <row r="64" spans="1:38" ht="15.75" customHeight="1">
      <c r="A64" s="98" t="s">
        <v>623</v>
      </c>
      <c r="B64" s="98" t="s">
        <v>643</v>
      </c>
      <c r="C64" s="98" t="s">
        <v>12</v>
      </c>
      <c r="E64"/>
      <c r="F64" t="s">
        <v>640</v>
      </c>
      <c r="G64"/>
      <c r="H64"/>
      <c r="I64"/>
      <c r="J64"/>
      <c r="K64"/>
      <c r="L64"/>
      <c r="M64"/>
      <c r="N64"/>
      <c r="O64"/>
      <c r="P64"/>
      <c r="Q64"/>
      <c r="R64"/>
      <c r="S64"/>
      <c r="T64"/>
      <c r="U64"/>
      <c r="V64"/>
      <c r="W64"/>
      <c r="X64"/>
      <c r="Y64"/>
      <c r="Z64"/>
      <c r="AA64"/>
      <c r="AB64"/>
      <c r="AC64"/>
      <c r="AD64"/>
      <c r="AE64"/>
      <c r="AF64"/>
      <c r="AG64"/>
      <c r="AH64"/>
      <c r="AI64"/>
      <c r="AJ64"/>
      <c r="AK64"/>
      <c r="AL64"/>
    </row>
    <row r="65" spans="1:38" ht="15.75" customHeight="1">
      <c r="A65" s="98" t="s">
        <v>623</v>
      </c>
      <c r="B65" s="98" t="s">
        <v>644</v>
      </c>
      <c r="C65" s="98" t="s">
        <v>12</v>
      </c>
      <c r="E65"/>
      <c r="F65" t="s">
        <v>641</v>
      </c>
      <c r="G65"/>
      <c r="H65"/>
      <c r="I65"/>
      <c r="J65"/>
      <c r="K65"/>
      <c r="L65"/>
      <c r="M65"/>
      <c r="N65"/>
      <c r="O65"/>
      <c r="P65"/>
      <c r="Q65"/>
      <c r="R65"/>
      <c r="S65"/>
      <c r="T65"/>
      <c r="U65"/>
      <c r="V65"/>
      <c r="W65"/>
      <c r="X65"/>
      <c r="Y65"/>
      <c r="Z65"/>
      <c r="AA65"/>
      <c r="AB65"/>
      <c r="AC65"/>
      <c r="AD65"/>
      <c r="AE65"/>
      <c r="AF65"/>
      <c r="AG65"/>
      <c r="AH65"/>
      <c r="AI65"/>
      <c r="AJ65"/>
      <c r="AK65"/>
      <c r="AL65"/>
    </row>
    <row r="66" spans="1:38" ht="15.75" customHeight="1">
      <c r="A66" s="98" t="s">
        <v>623</v>
      </c>
      <c r="B66" s="98" t="s">
        <v>645</v>
      </c>
      <c r="C66" s="98" t="s">
        <v>12</v>
      </c>
      <c r="E66"/>
      <c r="F66" t="s">
        <v>642</v>
      </c>
      <c r="G66"/>
      <c r="H66"/>
      <c r="I66"/>
      <c r="J66"/>
      <c r="K66"/>
      <c r="L66"/>
      <c r="M66"/>
      <c r="N66"/>
      <c r="O66"/>
      <c r="P66"/>
      <c r="Q66"/>
      <c r="R66"/>
      <c r="S66"/>
      <c r="T66"/>
      <c r="U66"/>
      <c r="V66"/>
      <c r="W66"/>
      <c r="X66"/>
      <c r="Y66"/>
      <c r="Z66"/>
      <c r="AA66"/>
      <c r="AB66"/>
      <c r="AC66"/>
      <c r="AD66"/>
      <c r="AE66"/>
      <c r="AF66"/>
      <c r="AG66"/>
      <c r="AH66"/>
      <c r="AI66"/>
      <c r="AJ66"/>
      <c r="AK66"/>
      <c r="AL66"/>
    </row>
    <row r="67" spans="1:38" ht="15.75" customHeight="1">
      <c r="A67" s="98" t="s">
        <v>623</v>
      </c>
      <c r="B67" s="98" t="s">
        <v>646</v>
      </c>
      <c r="C67" s="98" t="s">
        <v>12</v>
      </c>
      <c r="E67"/>
      <c r="F67" t="s">
        <v>643</v>
      </c>
      <c r="G67"/>
      <c r="H67"/>
      <c r="I67"/>
      <c r="J67"/>
      <c r="K67"/>
      <c r="L67"/>
      <c r="M67"/>
      <c r="N67"/>
      <c r="O67"/>
      <c r="P67"/>
      <c r="Q67"/>
      <c r="R67"/>
      <c r="S67"/>
      <c r="T67"/>
      <c r="U67"/>
      <c r="V67"/>
      <c r="W67"/>
      <c r="X67"/>
      <c r="Y67"/>
      <c r="Z67"/>
      <c r="AA67"/>
      <c r="AB67"/>
      <c r="AC67"/>
      <c r="AD67"/>
      <c r="AE67"/>
      <c r="AF67"/>
      <c r="AG67"/>
      <c r="AH67"/>
      <c r="AI67"/>
      <c r="AJ67"/>
      <c r="AK67"/>
      <c r="AL67"/>
    </row>
    <row r="68" spans="1:38" ht="15.75" customHeight="1">
      <c r="A68" s="98" t="s">
        <v>623</v>
      </c>
      <c r="B68" s="98" t="s">
        <v>647</v>
      </c>
      <c r="C68" s="98" t="s">
        <v>12</v>
      </c>
      <c r="E68"/>
      <c r="F68" t="s">
        <v>644</v>
      </c>
      <c r="G68"/>
      <c r="H68"/>
      <c r="I68"/>
      <c r="J68"/>
      <c r="K68"/>
      <c r="L68"/>
      <c r="M68"/>
      <c r="N68"/>
      <c r="O68"/>
      <c r="P68"/>
      <c r="Q68"/>
      <c r="R68"/>
      <c r="S68"/>
      <c r="T68"/>
      <c r="U68"/>
      <c r="V68"/>
      <c r="W68"/>
      <c r="X68"/>
      <c r="Y68"/>
      <c r="Z68"/>
      <c r="AA68"/>
      <c r="AB68"/>
      <c r="AC68"/>
      <c r="AD68"/>
      <c r="AE68"/>
      <c r="AF68"/>
      <c r="AG68"/>
      <c r="AH68"/>
      <c r="AI68"/>
      <c r="AJ68"/>
      <c r="AK68"/>
      <c r="AL68"/>
    </row>
    <row r="69" spans="1:38" ht="15.75" customHeight="1">
      <c r="A69" s="98" t="s">
        <v>623</v>
      </c>
      <c r="B69" s="98" t="s">
        <v>648</v>
      </c>
      <c r="C69" s="98" t="s">
        <v>12</v>
      </c>
      <c r="E69"/>
      <c r="F69" t="s">
        <v>645</v>
      </c>
      <c r="G69"/>
      <c r="H69"/>
      <c r="I69"/>
      <c r="J69"/>
      <c r="K69"/>
      <c r="L69"/>
      <c r="M69"/>
      <c r="N69"/>
      <c r="O69"/>
      <c r="P69"/>
      <c r="Q69"/>
      <c r="R69"/>
      <c r="S69"/>
      <c r="T69"/>
      <c r="U69"/>
      <c r="V69"/>
      <c r="W69"/>
      <c r="X69"/>
      <c r="Y69"/>
      <c r="Z69"/>
      <c r="AA69"/>
      <c r="AB69"/>
      <c r="AC69"/>
      <c r="AD69"/>
      <c r="AE69"/>
      <c r="AF69"/>
      <c r="AG69"/>
      <c r="AH69"/>
      <c r="AI69"/>
      <c r="AJ69"/>
      <c r="AK69"/>
      <c r="AL69"/>
    </row>
    <row r="70" spans="1:38" ht="15.75" customHeight="1">
      <c r="A70" s="98" t="s">
        <v>623</v>
      </c>
      <c r="B70" s="98" t="s">
        <v>649</v>
      </c>
      <c r="C70" s="98" t="s">
        <v>12</v>
      </c>
      <c r="E70"/>
      <c r="F70" t="s">
        <v>646</v>
      </c>
      <c r="G70"/>
      <c r="H70"/>
      <c r="I70"/>
      <c r="J70"/>
      <c r="K70"/>
      <c r="L70"/>
      <c r="M70"/>
      <c r="N70"/>
      <c r="O70"/>
      <c r="P70"/>
      <c r="Q70"/>
      <c r="R70"/>
      <c r="S70"/>
      <c r="T70"/>
      <c r="U70"/>
      <c r="V70"/>
      <c r="W70"/>
      <c r="X70"/>
      <c r="Y70"/>
      <c r="Z70"/>
      <c r="AA70"/>
      <c r="AB70"/>
      <c r="AC70"/>
      <c r="AD70"/>
      <c r="AE70"/>
      <c r="AF70"/>
      <c r="AG70"/>
      <c r="AH70"/>
      <c r="AI70"/>
      <c r="AJ70"/>
      <c r="AK70"/>
      <c r="AL70"/>
    </row>
    <row r="71" spans="1:38" ht="15.75" customHeight="1">
      <c r="A71" s="98" t="s">
        <v>623</v>
      </c>
      <c r="B71" s="98" t="s">
        <v>650</v>
      </c>
      <c r="C71" s="98" t="s">
        <v>12</v>
      </c>
      <c r="E71"/>
      <c r="F71" t="s">
        <v>647</v>
      </c>
      <c r="G71"/>
      <c r="H71"/>
      <c r="I71"/>
      <c r="J71"/>
      <c r="K71"/>
      <c r="L71"/>
      <c r="M71"/>
      <c r="N71"/>
      <c r="O71"/>
      <c r="P71"/>
      <c r="Q71"/>
      <c r="R71"/>
      <c r="S71"/>
      <c r="T71"/>
      <c r="U71"/>
      <c r="V71"/>
      <c r="W71"/>
      <c r="X71"/>
      <c r="Y71"/>
      <c r="Z71"/>
      <c r="AA71"/>
      <c r="AB71"/>
      <c r="AC71"/>
      <c r="AD71"/>
      <c r="AE71"/>
      <c r="AF71"/>
      <c r="AG71"/>
      <c r="AH71"/>
      <c r="AI71"/>
      <c r="AJ71"/>
      <c r="AK71"/>
      <c r="AL71"/>
    </row>
    <row r="72" spans="1:38" ht="15.75" customHeight="1">
      <c r="A72" s="98" t="s">
        <v>623</v>
      </c>
      <c r="B72" s="98" t="s">
        <v>651</v>
      </c>
      <c r="C72" s="98" t="s">
        <v>12</v>
      </c>
      <c r="E72"/>
      <c r="F72" t="s">
        <v>648</v>
      </c>
      <c r="G72"/>
      <c r="H72"/>
      <c r="I72"/>
      <c r="J72"/>
      <c r="K72"/>
      <c r="L72"/>
      <c r="M72"/>
      <c r="N72"/>
      <c r="O72"/>
      <c r="P72"/>
      <c r="Q72"/>
      <c r="R72"/>
      <c r="S72"/>
      <c r="T72"/>
      <c r="U72"/>
      <c r="V72"/>
      <c r="W72"/>
      <c r="X72"/>
      <c r="Y72"/>
      <c r="Z72"/>
      <c r="AA72"/>
      <c r="AB72"/>
      <c r="AC72"/>
      <c r="AD72"/>
      <c r="AE72"/>
      <c r="AF72"/>
      <c r="AG72"/>
      <c r="AH72"/>
      <c r="AI72"/>
      <c r="AJ72"/>
      <c r="AK72"/>
      <c r="AL72"/>
    </row>
    <row r="73" spans="1:38" ht="15.75" customHeight="1">
      <c r="A73" s="98" t="s">
        <v>623</v>
      </c>
      <c r="B73" s="98" t="s">
        <v>652</v>
      </c>
      <c r="C73" s="98" t="s">
        <v>12</v>
      </c>
      <c r="E73"/>
      <c r="F73" t="s">
        <v>649</v>
      </c>
      <c r="G73"/>
      <c r="H73"/>
      <c r="I73"/>
      <c r="J73"/>
      <c r="K73"/>
      <c r="L73"/>
      <c r="M73"/>
      <c r="N73"/>
      <c r="O73"/>
      <c r="P73"/>
      <c r="Q73"/>
      <c r="R73"/>
      <c r="S73"/>
      <c r="T73"/>
      <c r="U73"/>
      <c r="V73"/>
      <c r="W73"/>
      <c r="X73"/>
      <c r="Y73"/>
      <c r="Z73"/>
      <c r="AA73"/>
      <c r="AB73"/>
      <c r="AC73"/>
      <c r="AD73"/>
      <c r="AE73"/>
      <c r="AF73"/>
      <c r="AG73"/>
      <c r="AH73"/>
      <c r="AI73"/>
      <c r="AJ73"/>
      <c r="AK73"/>
      <c r="AL73"/>
    </row>
    <row r="74" spans="1:38" ht="15.75" customHeight="1">
      <c r="A74" s="98" t="s">
        <v>623</v>
      </c>
      <c r="B74" s="98" t="s">
        <v>653</v>
      </c>
      <c r="C74" s="98" t="s">
        <v>12</v>
      </c>
      <c r="E74"/>
      <c r="F74" t="s">
        <v>650</v>
      </c>
      <c r="G74"/>
      <c r="H74"/>
      <c r="I74"/>
      <c r="J74"/>
      <c r="K74"/>
      <c r="L74"/>
      <c r="M74"/>
      <c r="N74"/>
      <c r="O74"/>
      <c r="P74"/>
      <c r="Q74"/>
      <c r="R74"/>
      <c r="S74"/>
      <c r="T74"/>
      <c r="U74"/>
      <c r="V74"/>
      <c r="W74"/>
      <c r="X74"/>
      <c r="Y74"/>
      <c r="Z74"/>
      <c r="AA74"/>
      <c r="AB74"/>
      <c r="AC74"/>
      <c r="AD74"/>
      <c r="AE74"/>
      <c r="AF74"/>
      <c r="AG74"/>
      <c r="AH74"/>
      <c r="AI74"/>
      <c r="AJ74"/>
      <c r="AK74"/>
      <c r="AL74"/>
    </row>
    <row r="75" spans="1:38" ht="15.75" customHeight="1">
      <c r="A75" s="98" t="s">
        <v>623</v>
      </c>
      <c r="B75" s="98" t="s">
        <v>654</v>
      </c>
      <c r="C75" s="98" t="s">
        <v>12</v>
      </c>
      <c r="E75"/>
      <c r="F75" t="s">
        <v>651</v>
      </c>
      <c r="G75"/>
      <c r="H75"/>
      <c r="I75"/>
      <c r="J75"/>
      <c r="K75"/>
      <c r="L75"/>
      <c r="M75"/>
      <c r="N75"/>
      <c r="O75"/>
      <c r="P75"/>
      <c r="Q75"/>
      <c r="R75"/>
      <c r="S75"/>
      <c r="T75"/>
      <c r="U75"/>
      <c r="V75"/>
      <c r="W75"/>
      <c r="X75"/>
      <c r="Y75"/>
      <c r="Z75"/>
      <c r="AA75"/>
      <c r="AB75"/>
      <c r="AC75"/>
      <c r="AD75"/>
      <c r="AE75"/>
      <c r="AF75"/>
      <c r="AG75"/>
      <c r="AH75"/>
      <c r="AI75"/>
      <c r="AJ75"/>
      <c r="AK75"/>
      <c r="AL75"/>
    </row>
    <row r="76" spans="1:38" ht="15.75" customHeight="1">
      <c r="A76" s="98" t="s">
        <v>623</v>
      </c>
      <c r="B76" s="98" t="s">
        <v>655</v>
      </c>
      <c r="C76" s="98" t="s">
        <v>12</v>
      </c>
      <c r="E76"/>
      <c r="F76" t="s">
        <v>652</v>
      </c>
      <c r="G76"/>
      <c r="H76"/>
      <c r="I76"/>
      <c r="J76"/>
      <c r="K76"/>
      <c r="L76"/>
      <c r="M76"/>
      <c r="N76"/>
      <c r="O76"/>
      <c r="P76"/>
      <c r="Q76"/>
      <c r="R76"/>
      <c r="S76"/>
      <c r="T76"/>
      <c r="U76"/>
      <c r="V76"/>
      <c r="W76"/>
      <c r="X76"/>
      <c r="Y76"/>
      <c r="Z76"/>
      <c r="AA76"/>
      <c r="AB76"/>
      <c r="AC76"/>
      <c r="AD76"/>
      <c r="AE76"/>
      <c r="AF76"/>
      <c r="AG76"/>
      <c r="AH76"/>
      <c r="AI76"/>
      <c r="AJ76"/>
      <c r="AK76"/>
      <c r="AL76"/>
    </row>
    <row r="77" spans="1:38" ht="15.75" customHeight="1">
      <c r="A77" s="98" t="s">
        <v>623</v>
      </c>
      <c r="B77" s="98" t="s">
        <v>656</v>
      </c>
      <c r="C77" s="98" t="s">
        <v>12</v>
      </c>
      <c r="E77"/>
      <c r="F77" t="s">
        <v>653</v>
      </c>
      <c r="G77"/>
      <c r="H77"/>
      <c r="I77"/>
      <c r="J77"/>
      <c r="K77"/>
      <c r="L77"/>
      <c r="M77"/>
      <c r="N77"/>
      <c r="O77"/>
      <c r="P77"/>
      <c r="Q77"/>
      <c r="R77"/>
      <c r="S77"/>
      <c r="T77"/>
      <c r="U77"/>
      <c r="V77"/>
      <c r="W77"/>
      <c r="X77"/>
      <c r="Y77"/>
      <c r="Z77"/>
      <c r="AA77"/>
      <c r="AB77"/>
      <c r="AC77"/>
      <c r="AD77"/>
      <c r="AE77"/>
      <c r="AF77"/>
      <c r="AG77"/>
      <c r="AH77"/>
      <c r="AI77"/>
      <c r="AJ77"/>
      <c r="AK77"/>
      <c r="AL77"/>
    </row>
    <row r="78" spans="1:38" ht="15.75" customHeight="1">
      <c r="A78" s="98" t="s">
        <v>657</v>
      </c>
      <c r="B78" s="98" t="s">
        <v>658</v>
      </c>
      <c r="C78" s="98" t="s">
        <v>12</v>
      </c>
      <c r="E78"/>
      <c r="F78" t="s">
        <v>654</v>
      </c>
      <c r="G78"/>
      <c r="H78"/>
      <c r="I78"/>
      <c r="J78"/>
      <c r="K78"/>
      <c r="L78"/>
      <c r="M78"/>
      <c r="N78"/>
      <c r="O78"/>
      <c r="P78"/>
      <c r="Q78"/>
      <c r="R78"/>
      <c r="S78"/>
      <c r="T78"/>
      <c r="U78"/>
      <c r="V78"/>
      <c r="W78"/>
      <c r="X78"/>
      <c r="Y78"/>
      <c r="Z78"/>
      <c r="AA78"/>
      <c r="AB78"/>
      <c r="AC78"/>
      <c r="AD78"/>
      <c r="AE78"/>
      <c r="AF78"/>
      <c r="AG78"/>
      <c r="AH78"/>
      <c r="AI78"/>
      <c r="AJ78"/>
      <c r="AK78"/>
      <c r="AL78"/>
    </row>
    <row r="79" spans="1:38" ht="15.75" customHeight="1">
      <c r="A79" s="98" t="s">
        <v>657</v>
      </c>
      <c r="B79" s="98" t="s">
        <v>659</v>
      </c>
      <c r="C79" s="98" t="s">
        <v>12</v>
      </c>
      <c r="E79"/>
      <c r="F79" t="s">
        <v>655</v>
      </c>
      <c r="G79"/>
      <c r="H79"/>
      <c r="I79"/>
      <c r="J79"/>
      <c r="K79"/>
      <c r="L79"/>
      <c r="M79"/>
      <c r="N79"/>
      <c r="O79"/>
      <c r="P79"/>
      <c r="Q79"/>
      <c r="R79"/>
      <c r="S79"/>
      <c r="T79"/>
      <c r="U79"/>
      <c r="V79"/>
      <c r="W79"/>
      <c r="X79"/>
      <c r="Y79"/>
      <c r="Z79"/>
      <c r="AA79"/>
      <c r="AB79"/>
      <c r="AC79"/>
      <c r="AD79"/>
      <c r="AE79"/>
      <c r="AF79"/>
      <c r="AG79"/>
      <c r="AH79"/>
      <c r="AI79"/>
      <c r="AJ79"/>
      <c r="AK79"/>
      <c r="AL79"/>
    </row>
    <row r="80" spans="1:38" ht="15.75" customHeight="1">
      <c r="A80" s="98" t="s">
        <v>657</v>
      </c>
      <c r="B80" s="98" t="s">
        <v>660</v>
      </c>
      <c r="C80" s="98" t="s">
        <v>12</v>
      </c>
      <c r="E80"/>
      <c r="F80" t="s">
        <v>656</v>
      </c>
      <c r="G80"/>
      <c r="H80"/>
      <c r="I80"/>
      <c r="J80"/>
      <c r="K80"/>
      <c r="L80"/>
      <c r="M80"/>
      <c r="N80"/>
      <c r="O80"/>
      <c r="P80"/>
      <c r="Q80"/>
      <c r="R80"/>
      <c r="S80"/>
      <c r="T80"/>
      <c r="U80"/>
      <c r="V80"/>
      <c r="W80"/>
      <c r="X80"/>
      <c r="Y80"/>
      <c r="Z80"/>
      <c r="AA80"/>
      <c r="AB80"/>
      <c r="AC80"/>
      <c r="AD80"/>
      <c r="AE80"/>
      <c r="AF80"/>
      <c r="AG80"/>
      <c r="AH80"/>
      <c r="AI80"/>
      <c r="AJ80"/>
      <c r="AK80"/>
      <c r="AL80"/>
    </row>
    <row r="81" spans="1:38" ht="15.75" customHeight="1">
      <c r="A81" s="98" t="s">
        <v>657</v>
      </c>
      <c r="B81" s="98" t="s">
        <v>661</v>
      </c>
      <c r="C81" s="98" t="s">
        <v>12</v>
      </c>
      <c r="E81" t="s">
        <v>1346</v>
      </c>
      <c r="F81"/>
      <c r="G81"/>
      <c r="H81"/>
      <c r="I81"/>
      <c r="J81"/>
      <c r="K81"/>
      <c r="L81"/>
      <c r="M81"/>
      <c r="N81"/>
      <c r="O81"/>
      <c r="P81"/>
      <c r="Q81"/>
      <c r="R81"/>
      <c r="S81"/>
      <c r="T81"/>
      <c r="U81"/>
      <c r="V81"/>
      <c r="W81"/>
      <c r="X81"/>
      <c r="Y81"/>
      <c r="Z81"/>
      <c r="AA81"/>
      <c r="AB81"/>
      <c r="AC81"/>
      <c r="AD81"/>
      <c r="AE81"/>
      <c r="AF81"/>
      <c r="AG81"/>
      <c r="AH81"/>
      <c r="AI81"/>
      <c r="AJ81"/>
      <c r="AK81"/>
      <c r="AL81"/>
    </row>
    <row r="82" spans="1:38" ht="15.75" customHeight="1">
      <c r="A82" s="98" t="s">
        <v>657</v>
      </c>
      <c r="B82" s="98" t="s">
        <v>662</v>
      </c>
      <c r="C82" s="98" t="s">
        <v>12</v>
      </c>
      <c r="E82" t="s">
        <v>657</v>
      </c>
      <c r="F82" t="s">
        <v>658</v>
      </c>
      <c r="G82"/>
      <c r="H82"/>
      <c r="I82"/>
      <c r="J82"/>
      <c r="K82"/>
      <c r="L82"/>
      <c r="M82"/>
      <c r="N82"/>
      <c r="O82"/>
      <c r="P82"/>
      <c r="Q82"/>
      <c r="R82"/>
      <c r="S82"/>
      <c r="T82"/>
      <c r="U82"/>
      <c r="V82"/>
      <c r="W82"/>
      <c r="X82"/>
      <c r="Y82"/>
      <c r="Z82"/>
      <c r="AA82"/>
      <c r="AB82"/>
      <c r="AC82"/>
      <c r="AD82"/>
      <c r="AE82"/>
      <c r="AF82"/>
      <c r="AG82"/>
      <c r="AH82"/>
      <c r="AI82"/>
      <c r="AJ82"/>
      <c r="AK82"/>
      <c r="AL82"/>
    </row>
    <row r="83" spans="1:38" ht="15.75" customHeight="1">
      <c r="A83" s="98" t="s">
        <v>657</v>
      </c>
      <c r="B83" s="98" t="s">
        <v>663</v>
      </c>
      <c r="C83" s="98" t="s">
        <v>12</v>
      </c>
      <c r="E83"/>
      <c r="F83" t="s">
        <v>659</v>
      </c>
      <c r="G83"/>
      <c r="H83"/>
      <c r="I83"/>
      <c r="J83"/>
      <c r="K83"/>
      <c r="L83"/>
      <c r="M83"/>
      <c r="N83"/>
      <c r="O83"/>
      <c r="P83"/>
      <c r="Q83"/>
      <c r="R83"/>
      <c r="S83"/>
      <c r="T83"/>
      <c r="U83"/>
      <c r="V83"/>
      <c r="W83"/>
      <c r="X83"/>
      <c r="Y83"/>
      <c r="Z83"/>
      <c r="AA83"/>
      <c r="AB83"/>
      <c r="AC83"/>
      <c r="AD83"/>
      <c r="AE83"/>
      <c r="AF83"/>
      <c r="AG83"/>
      <c r="AH83"/>
      <c r="AI83"/>
      <c r="AJ83"/>
      <c r="AK83"/>
      <c r="AL83"/>
    </row>
    <row r="84" spans="1:38" ht="15.75" customHeight="1">
      <c r="A84" s="98" t="s">
        <v>657</v>
      </c>
      <c r="B84" s="98" t="s">
        <v>664</v>
      </c>
      <c r="C84" s="98" t="s">
        <v>12</v>
      </c>
      <c r="E84"/>
      <c r="F84" t="s">
        <v>660</v>
      </c>
      <c r="G84"/>
      <c r="H84"/>
      <c r="I84"/>
      <c r="J84"/>
      <c r="K84"/>
      <c r="L84"/>
      <c r="M84"/>
      <c r="N84"/>
      <c r="O84"/>
      <c r="P84"/>
      <c r="Q84"/>
      <c r="R84"/>
      <c r="S84"/>
      <c r="T84"/>
      <c r="U84"/>
      <c r="V84"/>
      <c r="W84"/>
      <c r="X84"/>
      <c r="Y84"/>
      <c r="Z84"/>
      <c r="AA84"/>
      <c r="AB84"/>
      <c r="AC84"/>
      <c r="AD84"/>
      <c r="AE84"/>
      <c r="AF84"/>
      <c r="AG84"/>
      <c r="AH84"/>
      <c r="AI84"/>
      <c r="AJ84"/>
      <c r="AK84"/>
      <c r="AL84"/>
    </row>
    <row r="85" spans="1:38" ht="15.75" customHeight="1">
      <c r="A85" s="98" t="s">
        <v>657</v>
      </c>
      <c r="B85" s="98" t="s">
        <v>665</v>
      </c>
      <c r="C85" s="98" t="s">
        <v>12</v>
      </c>
      <c r="E85"/>
      <c r="F85" t="s">
        <v>661</v>
      </c>
      <c r="G85"/>
      <c r="H85"/>
      <c r="I85"/>
      <c r="J85"/>
      <c r="K85"/>
      <c r="L85"/>
      <c r="M85"/>
      <c r="N85"/>
      <c r="O85"/>
      <c r="P85"/>
      <c r="Q85"/>
      <c r="R85"/>
      <c r="S85"/>
      <c r="T85"/>
      <c r="U85"/>
      <c r="V85"/>
      <c r="W85"/>
      <c r="X85"/>
      <c r="Y85"/>
      <c r="Z85"/>
      <c r="AA85"/>
      <c r="AB85"/>
      <c r="AC85"/>
      <c r="AD85"/>
      <c r="AE85"/>
      <c r="AF85"/>
      <c r="AG85"/>
      <c r="AH85"/>
      <c r="AI85"/>
      <c r="AJ85"/>
      <c r="AK85"/>
      <c r="AL85"/>
    </row>
    <row r="86" spans="1:38" ht="15.75" customHeight="1">
      <c r="A86" s="98" t="s">
        <v>657</v>
      </c>
      <c r="B86" s="98" t="s">
        <v>666</v>
      </c>
      <c r="C86" s="98" t="s">
        <v>12</v>
      </c>
      <c r="E86"/>
      <c r="F86" t="s">
        <v>662</v>
      </c>
      <c r="G86"/>
      <c r="H86"/>
      <c r="I86"/>
      <c r="J86"/>
      <c r="K86"/>
      <c r="L86"/>
      <c r="M86"/>
      <c r="N86"/>
      <c r="O86"/>
      <c r="P86"/>
      <c r="Q86"/>
      <c r="R86"/>
      <c r="S86"/>
      <c r="T86"/>
      <c r="U86"/>
      <c r="V86"/>
      <c r="W86"/>
      <c r="X86"/>
      <c r="Y86"/>
      <c r="Z86"/>
      <c r="AA86"/>
      <c r="AB86"/>
      <c r="AC86"/>
      <c r="AD86"/>
      <c r="AE86"/>
      <c r="AF86"/>
      <c r="AG86"/>
      <c r="AH86"/>
      <c r="AI86"/>
      <c r="AJ86"/>
      <c r="AK86"/>
      <c r="AL86"/>
    </row>
    <row r="87" spans="1:38" ht="15.75" customHeight="1">
      <c r="A87" s="98" t="s">
        <v>657</v>
      </c>
      <c r="B87" s="98" t="s">
        <v>667</v>
      </c>
      <c r="C87" s="98" t="s">
        <v>12</v>
      </c>
      <c r="E87"/>
      <c r="F87" t="s">
        <v>663</v>
      </c>
      <c r="G87"/>
      <c r="H87"/>
      <c r="I87"/>
      <c r="J87"/>
      <c r="K87"/>
      <c r="L87"/>
      <c r="M87"/>
      <c r="N87"/>
      <c r="O87"/>
      <c r="P87"/>
      <c r="Q87"/>
      <c r="R87"/>
      <c r="S87"/>
      <c r="T87"/>
      <c r="U87"/>
      <c r="V87"/>
      <c r="W87"/>
      <c r="X87"/>
      <c r="Y87"/>
      <c r="Z87"/>
      <c r="AA87"/>
      <c r="AB87"/>
      <c r="AC87"/>
      <c r="AD87"/>
      <c r="AE87"/>
      <c r="AF87"/>
      <c r="AG87"/>
      <c r="AH87"/>
      <c r="AI87"/>
      <c r="AJ87"/>
      <c r="AK87"/>
      <c r="AL87"/>
    </row>
    <row r="88" spans="1:38" ht="15.75" customHeight="1">
      <c r="A88" s="98" t="s">
        <v>657</v>
      </c>
      <c r="B88" s="98" t="s">
        <v>668</v>
      </c>
      <c r="C88" s="98" t="s">
        <v>12</v>
      </c>
      <c r="E88"/>
      <c r="F88" t="s">
        <v>664</v>
      </c>
      <c r="G88"/>
      <c r="H88"/>
      <c r="I88"/>
      <c r="J88"/>
      <c r="K88"/>
      <c r="L88"/>
      <c r="M88"/>
      <c r="N88"/>
      <c r="O88"/>
      <c r="P88"/>
      <c r="Q88"/>
      <c r="R88"/>
      <c r="S88"/>
      <c r="T88"/>
      <c r="U88"/>
      <c r="V88"/>
      <c r="W88"/>
      <c r="X88"/>
      <c r="Y88"/>
      <c r="Z88"/>
      <c r="AA88"/>
      <c r="AB88"/>
      <c r="AC88"/>
      <c r="AD88"/>
      <c r="AE88"/>
      <c r="AF88"/>
      <c r="AG88"/>
      <c r="AH88"/>
      <c r="AI88"/>
      <c r="AJ88"/>
      <c r="AK88"/>
      <c r="AL88"/>
    </row>
    <row r="89" spans="1:38" ht="15.75" customHeight="1">
      <c r="A89" s="98" t="s">
        <v>657</v>
      </c>
      <c r="B89" s="98" t="s">
        <v>669</v>
      </c>
      <c r="C89" s="98" t="s">
        <v>12</v>
      </c>
      <c r="E89"/>
      <c r="F89" t="s">
        <v>665</v>
      </c>
      <c r="G89"/>
      <c r="H89"/>
      <c r="I89"/>
      <c r="J89"/>
      <c r="K89"/>
      <c r="L89"/>
      <c r="M89"/>
      <c r="N89"/>
      <c r="O89"/>
      <c r="P89"/>
      <c r="Q89"/>
      <c r="R89"/>
      <c r="S89"/>
      <c r="T89"/>
      <c r="U89"/>
      <c r="V89"/>
      <c r="W89"/>
      <c r="X89"/>
      <c r="Y89"/>
      <c r="Z89"/>
      <c r="AA89"/>
      <c r="AB89"/>
      <c r="AC89"/>
      <c r="AD89"/>
      <c r="AE89"/>
      <c r="AF89"/>
      <c r="AG89"/>
      <c r="AH89"/>
      <c r="AI89"/>
      <c r="AJ89"/>
      <c r="AK89"/>
      <c r="AL89"/>
    </row>
    <row r="90" spans="1:38" ht="15.75" customHeight="1">
      <c r="A90" s="98" t="s">
        <v>657</v>
      </c>
      <c r="B90" s="98" t="s">
        <v>670</v>
      </c>
      <c r="C90" s="98" t="s">
        <v>12</v>
      </c>
      <c r="E90"/>
      <c r="F90" t="s">
        <v>666</v>
      </c>
      <c r="G90"/>
      <c r="H90"/>
      <c r="I90"/>
      <c r="J90"/>
      <c r="K90"/>
      <c r="L90"/>
      <c r="M90"/>
      <c r="N90"/>
      <c r="O90"/>
      <c r="P90"/>
      <c r="Q90"/>
      <c r="R90"/>
      <c r="S90"/>
      <c r="T90"/>
      <c r="U90"/>
      <c r="V90"/>
      <c r="W90"/>
      <c r="X90"/>
      <c r="Y90"/>
      <c r="Z90"/>
      <c r="AA90"/>
      <c r="AB90"/>
      <c r="AC90"/>
      <c r="AD90"/>
      <c r="AE90"/>
      <c r="AF90"/>
      <c r="AG90"/>
      <c r="AH90"/>
      <c r="AI90"/>
      <c r="AJ90"/>
      <c r="AK90"/>
      <c r="AL90"/>
    </row>
    <row r="91" spans="1:38" ht="15.75" customHeight="1">
      <c r="A91" s="98" t="s">
        <v>657</v>
      </c>
      <c r="B91" s="98" t="s">
        <v>671</v>
      </c>
      <c r="C91" s="98" t="s">
        <v>12</v>
      </c>
      <c r="E91"/>
      <c r="F91" t="s">
        <v>667</v>
      </c>
      <c r="G91"/>
      <c r="H91"/>
      <c r="I91"/>
      <c r="J91"/>
      <c r="K91"/>
      <c r="L91"/>
      <c r="M91"/>
      <c r="N91"/>
      <c r="O91"/>
      <c r="P91"/>
      <c r="Q91"/>
      <c r="R91"/>
      <c r="S91"/>
      <c r="T91"/>
      <c r="U91"/>
      <c r="V91"/>
      <c r="W91"/>
      <c r="X91"/>
      <c r="Y91"/>
      <c r="Z91"/>
      <c r="AA91"/>
      <c r="AB91"/>
      <c r="AC91"/>
      <c r="AD91"/>
      <c r="AE91"/>
      <c r="AF91"/>
      <c r="AG91"/>
      <c r="AH91"/>
      <c r="AI91"/>
      <c r="AJ91"/>
      <c r="AK91"/>
      <c r="AL91"/>
    </row>
    <row r="92" spans="1:38" ht="15.75" customHeight="1">
      <c r="A92" s="98" t="s">
        <v>657</v>
      </c>
      <c r="B92" s="98" t="s">
        <v>672</v>
      </c>
      <c r="C92" s="98" t="s">
        <v>12</v>
      </c>
      <c r="E92"/>
      <c r="F92" t="s">
        <v>668</v>
      </c>
      <c r="G92"/>
      <c r="H92"/>
      <c r="I92"/>
      <c r="J92"/>
      <c r="K92"/>
      <c r="L92"/>
      <c r="M92"/>
      <c r="N92"/>
      <c r="O92"/>
      <c r="P92"/>
      <c r="Q92"/>
      <c r="R92"/>
      <c r="S92"/>
      <c r="T92"/>
      <c r="U92"/>
      <c r="V92"/>
      <c r="W92"/>
      <c r="X92"/>
      <c r="Y92"/>
      <c r="Z92"/>
      <c r="AA92"/>
      <c r="AB92"/>
      <c r="AC92"/>
      <c r="AD92"/>
      <c r="AE92"/>
      <c r="AF92"/>
      <c r="AG92"/>
      <c r="AH92"/>
      <c r="AI92"/>
      <c r="AJ92"/>
      <c r="AK92"/>
      <c r="AL92"/>
    </row>
    <row r="93" spans="1:38" ht="15.75" customHeight="1">
      <c r="A93" s="98" t="s">
        <v>657</v>
      </c>
      <c r="B93" s="98" t="s">
        <v>673</v>
      </c>
      <c r="C93" s="98" t="s">
        <v>12</v>
      </c>
      <c r="E93"/>
      <c r="F93" t="s">
        <v>669</v>
      </c>
      <c r="G93"/>
      <c r="H93"/>
      <c r="I93"/>
      <c r="J93"/>
      <c r="K93"/>
      <c r="L93"/>
      <c r="M93"/>
      <c r="N93"/>
      <c r="O93"/>
      <c r="P93"/>
      <c r="Q93"/>
      <c r="R93"/>
      <c r="S93"/>
      <c r="T93"/>
      <c r="U93"/>
      <c r="V93"/>
      <c r="W93"/>
      <c r="X93"/>
      <c r="Y93"/>
      <c r="Z93"/>
      <c r="AA93"/>
      <c r="AB93"/>
      <c r="AC93"/>
      <c r="AD93"/>
      <c r="AE93"/>
      <c r="AF93"/>
      <c r="AG93"/>
      <c r="AH93"/>
      <c r="AI93"/>
      <c r="AJ93"/>
      <c r="AK93"/>
      <c r="AL93"/>
    </row>
    <row r="94" spans="1:38" ht="15.75" customHeight="1">
      <c r="A94" s="98" t="s">
        <v>657</v>
      </c>
      <c r="B94" s="98" t="s">
        <v>674</v>
      </c>
      <c r="C94" s="98" t="s">
        <v>12</v>
      </c>
      <c r="E94"/>
      <c r="F94" t="s">
        <v>670</v>
      </c>
      <c r="G94"/>
      <c r="H94"/>
      <c r="I94"/>
      <c r="J94"/>
      <c r="K94"/>
      <c r="L94"/>
      <c r="M94"/>
      <c r="N94"/>
      <c r="O94"/>
      <c r="P94"/>
      <c r="Q94"/>
      <c r="R94"/>
      <c r="S94"/>
      <c r="T94"/>
      <c r="U94"/>
      <c r="V94"/>
      <c r="W94"/>
      <c r="X94"/>
      <c r="Y94"/>
      <c r="Z94"/>
      <c r="AA94"/>
      <c r="AB94"/>
      <c r="AC94"/>
      <c r="AD94"/>
      <c r="AE94"/>
      <c r="AF94"/>
      <c r="AG94"/>
      <c r="AH94"/>
      <c r="AI94"/>
      <c r="AJ94"/>
      <c r="AK94"/>
      <c r="AL94"/>
    </row>
    <row r="95" spans="1:38" ht="15.75" customHeight="1">
      <c r="A95" s="98" t="s">
        <v>657</v>
      </c>
      <c r="B95" s="98" t="s">
        <v>675</v>
      </c>
      <c r="C95" s="98" t="s">
        <v>12</v>
      </c>
      <c r="E95"/>
      <c r="F95" t="s">
        <v>671</v>
      </c>
      <c r="G95"/>
      <c r="H95"/>
      <c r="I95"/>
      <c r="J95"/>
      <c r="K95"/>
      <c r="L95"/>
      <c r="M95"/>
      <c r="N95"/>
      <c r="O95"/>
      <c r="P95"/>
      <c r="Q95"/>
      <c r="R95"/>
      <c r="S95"/>
      <c r="T95"/>
      <c r="U95"/>
      <c r="V95"/>
      <c r="W95"/>
      <c r="X95"/>
      <c r="Y95"/>
      <c r="Z95"/>
      <c r="AA95"/>
      <c r="AB95"/>
      <c r="AC95"/>
      <c r="AD95"/>
      <c r="AE95"/>
      <c r="AF95"/>
      <c r="AG95"/>
      <c r="AH95"/>
      <c r="AI95"/>
      <c r="AJ95"/>
      <c r="AK95"/>
      <c r="AL95"/>
    </row>
    <row r="96" spans="1:38" ht="15.75" customHeight="1">
      <c r="A96" s="98" t="s">
        <v>657</v>
      </c>
      <c r="B96" s="98" t="s">
        <v>676</v>
      </c>
      <c r="C96" s="98" t="s">
        <v>12</v>
      </c>
      <c r="E96"/>
      <c r="F96" t="s">
        <v>672</v>
      </c>
      <c r="G96"/>
      <c r="H96"/>
      <c r="I96"/>
      <c r="J96"/>
      <c r="K96"/>
      <c r="L96"/>
      <c r="M96"/>
      <c r="N96"/>
      <c r="O96"/>
      <c r="P96"/>
      <c r="Q96"/>
      <c r="R96"/>
      <c r="S96"/>
      <c r="T96"/>
      <c r="U96"/>
      <c r="V96"/>
      <c r="W96"/>
      <c r="X96"/>
      <c r="Y96"/>
      <c r="Z96"/>
      <c r="AA96"/>
      <c r="AB96"/>
      <c r="AC96"/>
      <c r="AD96"/>
      <c r="AE96"/>
      <c r="AF96"/>
      <c r="AG96"/>
      <c r="AH96"/>
      <c r="AI96"/>
      <c r="AJ96"/>
      <c r="AK96"/>
      <c r="AL96"/>
    </row>
    <row r="97" spans="1:38" ht="15.75" customHeight="1">
      <c r="A97" s="98" t="s">
        <v>657</v>
      </c>
      <c r="B97" s="98" t="s">
        <v>677</v>
      </c>
      <c r="C97" s="98" t="s">
        <v>12</v>
      </c>
      <c r="E97"/>
      <c r="F97" t="s">
        <v>673</v>
      </c>
      <c r="G97"/>
      <c r="H97"/>
      <c r="I97"/>
      <c r="J97"/>
      <c r="K97"/>
      <c r="L97"/>
      <c r="M97"/>
      <c r="N97"/>
      <c r="O97"/>
      <c r="P97"/>
      <c r="Q97"/>
      <c r="R97"/>
      <c r="S97"/>
      <c r="T97"/>
      <c r="U97"/>
      <c r="V97"/>
      <c r="W97"/>
      <c r="X97"/>
      <c r="Y97"/>
      <c r="Z97"/>
      <c r="AA97"/>
      <c r="AB97"/>
      <c r="AC97"/>
      <c r="AD97"/>
      <c r="AE97"/>
      <c r="AF97"/>
      <c r="AG97"/>
      <c r="AH97"/>
      <c r="AI97"/>
      <c r="AJ97"/>
      <c r="AK97"/>
      <c r="AL97"/>
    </row>
    <row r="98" spans="1:38" ht="15.75" customHeight="1">
      <c r="A98" s="98" t="s">
        <v>657</v>
      </c>
      <c r="B98" s="98" t="s">
        <v>678</v>
      </c>
      <c r="C98" s="98" t="s">
        <v>12</v>
      </c>
      <c r="E98"/>
      <c r="F98" t="s">
        <v>674</v>
      </c>
      <c r="G98"/>
      <c r="H98"/>
      <c r="I98"/>
      <c r="J98"/>
      <c r="K98"/>
      <c r="L98"/>
      <c r="M98"/>
      <c r="N98"/>
      <c r="O98"/>
      <c r="P98"/>
      <c r="Q98"/>
      <c r="R98"/>
      <c r="S98"/>
      <c r="T98"/>
      <c r="U98"/>
      <c r="V98"/>
      <c r="W98"/>
      <c r="X98"/>
      <c r="Y98"/>
      <c r="Z98"/>
      <c r="AA98"/>
      <c r="AB98"/>
      <c r="AC98"/>
      <c r="AD98"/>
      <c r="AE98"/>
      <c r="AF98"/>
      <c r="AG98"/>
      <c r="AH98"/>
      <c r="AI98"/>
      <c r="AJ98"/>
      <c r="AK98"/>
      <c r="AL98"/>
    </row>
    <row r="99" spans="1:38" ht="15.75" customHeight="1">
      <c r="A99" s="98" t="s">
        <v>657</v>
      </c>
      <c r="B99" s="98" t="s">
        <v>679</v>
      </c>
      <c r="C99" s="98" t="s">
        <v>12</v>
      </c>
      <c r="E99"/>
      <c r="F99" t="s">
        <v>675</v>
      </c>
      <c r="G99"/>
      <c r="H99"/>
      <c r="I99"/>
      <c r="J99"/>
      <c r="K99"/>
      <c r="L99"/>
      <c r="M99"/>
      <c r="N99"/>
      <c r="O99"/>
      <c r="P99"/>
      <c r="Q99"/>
      <c r="R99"/>
      <c r="S99"/>
      <c r="T99"/>
      <c r="U99"/>
      <c r="V99"/>
      <c r="W99"/>
      <c r="X99"/>
      <c r="Y99"/>
      <c r="Z99"/>
      <c r="AA99"/>
      <c r="AB99"/>
      <c r="AC99"/>
      <c r="AD99"/>
      <c r="AE99"/>
      <c r="AF99"/>
      <c r="AG99"/>
      <c r="AH99"/>
      <c r="AI99"/>
      <c r="AJ99"/>
      <c r="AK99"/>
      <c r="AL99"/>
    </row>
    <row r="100" spans="1:38" ht="15.75" customHeight="1">
      <c r="A100" s="98" t="s">
        <v>657</v>
      </c>
      <c r="B100" s="98" t="s">
        <v>680</v>
      </c>
      <c r="C100" s="98" t="s">
        <v>12</v>
      </c>
      <c r="E100"/>
      <c r="F100" t="s">
        <v>676</v>
      </c>
      <c r="G100"/>
      <c r="H100"/>
      <c r="I100"/>
      <c r="J100"/>
      <c r="K100"/>
      <c r="L100"/>
      <c r="M100"/>
      <c r="N100"/>
      <c r="O100"/>
      <c r="P100"/>
      <c r="Q100"/>
      <c r="R100"/>
      <c r="S100"/>
      <c r="T100"/>
      <c r="U100"/>
      <c r="V100"/>
      <c r="W100"/>
      <c r="X100"/>
      <c r="Y100"/>
      <c r="Z100"/>
      <c r="AA100"/>
      <c r="AB100"/>
      <c r="AC100"/>
      <c r="AD100"/>
      <c r="AE100"/>
      <c r="AF100"/>
      <c r="AG100"/>
      <c r="AH100"/>
      <c r="AI100"/>
      <c r="AJ100"/>
      <c r="AK100"/>
      <c r="AL100"/>
    </row>
    <row r="101" spans="1:38" ht="15.75" customHeight="1">
      <c r="A101" s="98" t="s">
        <v>657</v>
      </c>
      <c r="B101" s="98" t="s">
        <v>681</v>
      </c>
      <c r="C101" s="98" t="s">
        <v>12</v>
      </c>
      <c r="E101"/>
      <c r="F101" t="s">
        <v>677</v>
      </c>
      <c r="G101"/>
      <c r="H101"/>
      <c r="I101"/>
      <c r="J101"/>
      <c r="K101"/>
      <c r="L101"/>
      <c r="M101"/>
      <c r="N101"/>
      <c r="O101"/>
      <c r="P101"/>
      <c r="Q101"/>
      <c r="R101"/>
      <c r="S101"/>
      <c r="T101"/>
      <c r="U101"/>
      <c r="V101"/>
      <c r="W101"/>
      <c r="X101"/>
      <c r="Y101"/>
      <c r="Z101"/>
      <c r="AA101"/>
      <c r="AB101"/>
      <c r="AC101"/>
      <c r="AD101"/>
      <c r="AE101"/>
      <c r="AF101"/>
      <c r="AG101"/>
      <c r="AH101"/>
      <c r="AI101"/>
      <c r="AJ101"/>
      <c r="AK101"/>
      <c r="AL101"/>
    </row>
    <row r="102" spans="1:38" ht="15.75" customHeight="1">
      <c r="A102" s="98" t="s">
        <v>657</v>
      </c>
      <c r="B102" s="98" t="s">
        <v>682</v>
      </c>
      <c r="C102" s="98" t="s">
        <v>12</v>
      </c>
      <c r="E102"/>
      <c r="F102" t="s">
        <v>678</v>
      </c>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8" ht="15.75" customHeight="1">
      <c r="A103" s="98" t="s">
        <v>657</v>
      </c>
      <c r="B103" s="98" t="s">
        <v>683</v>
      </c>
      <c r="C103" s="98" t="s">
        <v>12</v>
      </c>
      <c r="E103"/>
      <c r="F103" t="s">
        <v>679</v>
      </c>
      <c r="G103"/>
      <c r="H103"/>
      <c r="I103"/>
      <c r="J103"/>
      <c r="K103"/>
      <c r="L103"/>
      <c r="M103"/>
      <c r="N103"/>
      <c r="O103"/>
      <c r="P103"/>
      <c r="Q103"/>
      <c r="R103"/>
      <c r="S103"/>
      <c r="T103"/>
      <c r="U103"/>
      <c r="V103"/>
      <c r="W103"/>
      <c r="X103"/>
      <c r="Y103"/>
      <c r="Z103"/>
      <c r="AA103"/>
      <c r="AB103"/>
      <c r="AC103"/>
      <c r="AD103"/>
      <c r="AE103"/>
      <c r="AF103"/>
      <c r="AG103"/>
      <c r="AH103"/>
      <c r="AI103"/>
      <c r="AJ103"/>
      <c r="AK103"/>
      <c r="AL103"/>
    </row>
    <row r="104" spans="1:38" ht="15.75" customHeight="1">
      <c r="A104" s="98" t="s">
        <v>657</v>
      </c>
      <c r="B104" s="98" t="s">
        <v>684</v>
      </c>
      <c r="C104" s="98" t="s">
        <v>12</v>
      </c>
      <c r="E104"/>
      <c r="F104" t="s">
        <v>680</v>
      </c>
      <c r="G104"/>
      <c r="H104"/>
      <c r="I104"/>
      <c r="J104"/>
      <c r="K104"/>
      <c r="L104"/>
      <c r="M104"/>
      <c r="N104"/>
      <c r="O104"/>
      <c r="P104"/>
      <c r="Q104"/>
      <c r="R104"/>
      <c r="S104"/>
      <c r="T104"/>
      <c r="U104"/>
      <c r="V104"/>
      <c r="W104"/>
      <c r="X104"/>
      <c r="Y104"/>
      <c r="Z104"/>
      <c r="AA104"/>
      <c r="AB104"/>
      <c r="AC104"/>
      <c r="AD104"/>
      <c r="AE104"/>
      <c r="AF104"/>
      <c r="AG104"/>
      <c r="AH104"/>
      <c r="AI104"/>
      <c r="AJ104"/>
      <c r="AK104"/>
      <c r="AL104"/>
    </row>
    <row r="105" spans="1:38" ht="15.75" customHeight="1">
      <c r="A105" s="98" t="s">
        <v>657</v>
      </c>
      <c r="B105" s="98" t="s">
        <v>685</v>
      </c>
      <c r="C105" s="98" t="s">
        <v>12</v>
      </c>
      <c r="E105"/>
      <c r="F105" t="s">
        <v>681</v>
      </c>
      <c r="G105"/>
      <c r="H105"/>
      <c r="I105"/>
      <c r="J105"/>
      <c r="K105"/>
      <c r="L105"/>
      <c r="M105"/>
      <c r="N105"/>
      <c r="O105"/>
      <c r="P105"/>
      <c r="Q105"/>
      <c r="R105"/>
      <c r="S105"/>
      <c r="T105"/>
      <c r="U105"/>
      <c r="V105"/>
      <c r="W105"/>
      <c r="X105"/>
      <c r="Y105"/>
      <c r="Z105"/>
      <c r="AA105"/>
      <c r="AB105"/>
      <c r="AC105"/>
      <c r="AD105"/>
      <c r="AE105"/>
      <c r="AF105"/>
      <c r="AG105"/>
      <c r="AH105"/>
      <c r="AI105"/>
      <c r="AJ105"/>
      <c r="AK105"/>
      <c r="AL105"/>
    </row>
    <row r="106" spans="1:38" ht="15.75" customHeight="1">
      <c r="A106" s="98" t="s">
        <v>657</v>
      </c>
      <c r="B106" s="98" t="s">
        <v>686</v>
      </c>
      <c r="C106" s="98" t="s">
        <v>12</v>
      </c>
      <c r="E106"/>
      <c r="F106" t="s">
        <v>682</v>
      </c>
      <c r="G106"/>
      <c r="H106"/>
      <c r="I106"/>
      <c r="J106"/>
      <c r="K106"/>
      <c r="L106"/>
      <c r="M106"/>
      <c r="N106"/>
      <c r="O106"/>
      <c r="P106"/>
      <c r="Q106"/>
      <c r="R106"/>
      <c r="S106"/>
      <c r="T106"/>
      <c r="U106"/>
      <c r="V106"/>
      <c r="W106"/>
      <c r="X106"/>
      <c r="Y106"/>
      <c r="Z106"/>
      <c r="AA106"/>
      <c r="AB106"/>
      <c r="AC106"/>
      <c r="AD106"/>
      <c r="AE106"/>
      <c r="AF106"/>
      <c r="AG106"/>
      <c r="AH106"/>
      <c r="AI106"/>
      <c r="AJ106"/>
      <c r="AK106"/>
      <c r="AL106"/>
    </row>
    <row r="107" spans="1:38" ht="15.75" customHeight="1">
      <c r="A107" s="98" t="s">
        <v>657</v>
      </c>
      <c r="B107" s="98" t="s">
        <v>687</v>
      </c>
      <c r="C107" s="98" t="s">
        <v>12</v>
      </c>
      <c r="E107"/>
      <c r="F107" t="s">
        <v>683</v>
      </c>
      <c r="G107"/>
      <c r="H107"/>
      <c r="I107"/>
      <c r="J107"/>
      <c r="K107"/>
      <c r="L107"/>
      <c r="M107"/>
      <c r="N107"/>
      <c r="O107"/>
      <c r="P107"/>
      <c r="Q107"/>
      <c r="R107"/>
      <c r="S107"/>
      <c r="T107"/>
      <c r="U107"/>
      <c r="V107"/>
      <c r="W107"/>
      <c r="X107"/>
      <c r="Y107"/>
      <c r="Z107"/>
      <c r="AA107"/>
      <c r="AB107"/>
      <c r="AC107"/>
      <c r="AD107"/>
      <c r="AE107"/>
      <c r="AF107"/>
      <c r="AG107"/>
      <c r="AH107"/>
      <c r="AI107"/>
      <c r="AJ107"/>
      <c r="AK107"/>
      <c r="AL107"/>
    </row>
    <row r="108" spans="1:38" ht="15.75" customHeight="1">
      <c r="A108" s="98" t="s">
        <v>657</v>
      </c>
      <c r="B108" s="98" t="s">
        <v>688</v>
      </c>
      <c r="C108" s="98" t="s">
        <v>12</v>
      </c>
      <c r="E108"/>
      <c r="F108" t="s">
        <v>684</v>
      </c>
      <c r="G108"/>
      <c r="H108"/>
      <c r="I108"/>
      <c r="J108"/>
      <c r="K108"/>
      <c r="L108"/>
      <c r="M108"/>
      <c r="N108"/>
      <c r="O108"/>
      <c r="P108"/>
      <c r="Q108"/>
      <c r="R108"/>
      <c r="S108"/>
      <c r="T108"/>
      <c r="U108"/>
      <c r="V108"/>
      <c r="W108"/>
      <c r="X108"/>
      <c r="Y108"/>
      <c r="Z108"/>
      <c r="AA108"/>
      <c r="AB108"/>
      <c r="AC108"/>
      <c r="AD108"/>
      <c r="AE108"/>
      <c r="AF108"/>
      <c r="AG108"/>
      <c r="AH108"/>
      <c r="AI108"/>
      <c r="AJ108"/>
      <c r="AK108"/>
      <c r="AL108"/>
    </row>
    <row r="109" spans="1:38" ht="15.75" customHeight="1">
      <c r="A109" s="98" t="s">
        <v>657</v>
      </c>
      <c r="B109" s="98" t="s">
        <v>689</v>
      </c>
      <c r="C109" s="98" t="s">
        <v>12</v>
      </c>
      <c r="E109"/>
      <c r="F109" t="s">
        <v>685</v>
      </c>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8" ht="15.75" customHeight="1">
      <c r="A110" s="98" t="s">
        <v>657</v>
      </c>
      <c r="B110" s="98" t="s">
        <v>690</v>
      </c>
      <c r="C110" s="98" t="s">
        <v>12</v>
      </c>
      <c r="E110"/>
      <c r="F110" t="s">
        <v>686</v>
      </c>
      <c r="G110"/>
      <c r="H110"/>
      <c r="I110"/>
      <c r="J110"/>
      <c r="K110"/>
      <c r="L110"/>
      <c r="M110"/>
      <c r="N110"/>
      <c r="O110"/>
      <c r="P110"/>
      <c r="Q110"/>
      <c r="R110"/>
      <c r="S110"/>
      <c r="T110"/>
      <c r="U110"/>
      <c r="V110"/>
      <c r="W110"/>
      <c r="X110"/>
      <c r="Y110"/>
      <c r="Z110"/>
      <c r="AA110"/>
      <c r="AB110"/>
      <c r="AC110"/>
      <c r="AD110"/>
      <c r="AE110"/>
      <c r="AF110"/>
      <c r="AG110"/>
      <c r="AH110"/>
      <c r="AI110"/>
      <c r="AJ110"/>
      <c r="AK110"/>
      <c r="AL110"/>
    </row>
    <row r="111" spans="1:38" ht="15.75" customHeight="1">
      <c r="A111" s="98" t="s">
        <v>657</v>
      </c>
      <c r="B111" s="98" t="s">
        <v>691</v>
      </c>
      <c r="C111" s="98" t="s">
        <v>12</v>
      </c>
      <c r="E111"/>
      <c r="F111" t="s">
        <v>687</v>
      </c>
      <c r="G111"/>
      <c r="H111"/>
      <c r="I111"/>
      <c r="J111"/>
      <c r="K111"/>
      <c r="L111"/>
      <c r="M111"/>
      <c r="N111"/>
      <c r="O111"/>
      <c r="P111"/>
      <c r="Q111"/>
      <c r="R111"/>
      <c r="S111"/>
      <c r="T111"/>
      <c r="U111"/>
      <c r="V111"/>
      <c r="W111"/>
      <c r="X111"/>
      <c r="Y111"/>
      <c r="Z111"/>
      <c r="AA111"/>
      <c r="AB111"/>
      <c r="AC111"/>
      <c r="AD111"/>
      <c r="AE111"/>
      <c r="AF111"/>
      <c r="AG111"/>
      <c r="AH111"/>
      <c r="AI111"/>
      <c r="AJ111"/>
      <c r="AK111"/>
      <c r="AL111"/>
    </row>
    <row r="112" spans="1:38" ht="15.75" customHeight="1">
      <c r="A112" s="98" t="s">
        <v>657</v>
      </c>
      <c r="B112" s="98" t="s">
        <v>692</v>
      </c>
      <c r="C112" s="98" t="s">
        <v>12</v>
      </c>
      <c r="E112"/>
      <c r="F112" t="s">
        <v>688</v>
      </c>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38" ht="15.75" customHeight="1">
      <c r="A113" s="98" t="s">
        <v>657</v>
      </c>
      <c r="B113" s="98" t="s">
        <v>693</v>
      </c>
      <c r="C113" s="98" t="s">
        <v>12</v>
      </c>
      <c r="E113"/>
      <c r="F113" t="s">
        <v>689</v>
      </c>
      <c r="G113"/>
      <c r="H113"/>
      <c r="I113"/>
      <c r="J113"/>
      <c r="K113"/>
      <c r="L113"/>
      <c r="M113"/>
      <c r="N113"/>
      <c r="O113"/>
      <c r="P113"/>
      <c r="Q113"/>
      <c r="R113"/>
      <c r="S113"/>
      <c r="T113"/>
      <c r="U113"/>
      <c r="V113"/>
      <c r="W113"/>
      <c r="X113"/>
      <c r="Y113"/>
      <c r="Z113"/>
      <c r="AA113"/>
      <c r="AB113"/>
      <c r="AC113"/>
      <c r="AD113"/>
      <c r="AE113"/>
      <c r="AF113"/>
      <c r="AG113"/>
      <c r="AH113"/>
      <c r="AI113"/>
      <c r="AJ113"/>
      <c r="AK113"/>
      <c r="AL113"/>
    </row>
    <row r="114" spans="1:38" ht="15.75" customHeight="1">
      <c r="A114" s="98" t="s">
        <v>657</v>
      </c>
      <c r="B114" s="98" t="s">
        <v>694</v>
      </c>
      <c r="C114" s="98" t="s">
        <v>12</v>
      </c>
      <c r="E114"/>
      <c r="F114" t="s">
        <v>690</v>
      </c>
      <c r="G114"/>
      <c r="H114"/>
      <c r="I114"/>
      <c r="J114"/>
      <c r="K114"/>
      <c r="L114"/>
      <c r="M114"/>
      <c r="N114"/>
      <c r="O114"/>
      <c r="P114"/>
      <c r="Q114"/>
      <c r="R114"/>
      <c r="S114"/>
      <c r="T114"/>
      <c r="U114"/>
      <c r="V114"/>
      <c r="W114"/>
      <c r="X114"/>
      <c r="Y114"/>
      <c r="Z114"/>
      <c r="AA114"/>
      <c r="AB114"/>
      <c r="AC114"/>
      <c r="AD114"/>
      <c r="AE114"/>
      <c r="AF114"/>
      <c r="AG114"/>
      <c r="AH114"/>
      <c r="AI114"/>
      <c r="AJ114"/>
      <c r="AK114"/>
      <c r="AL114"/>
    </row>
    <row r="115" spans="1:38" ht="15.75" customHeight="1">
      <c r="A115" s="98" t="s">
        <v>657</v>
      </c>
      <c r="B115" s="98" t="s">
        <v>695</v>
      </c>
      <c r="C115" s="98" t="s">
        <v>12</v>
      </c>
      <c r="E115"/>
      <c r="F115" t="s">
        <v>691</v>
      </c>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38" ht="15.75" customHeight="1">
      <c r="A116" s="98" t="s">
        <v>696</v>
      </c>
      <c r="B116" s="98" t="s">
        <v>696</v>
      </c>
      <c r="C116" s="98" t="s">
        <v>580</v>
      </c>
      <c r="E116"/>
      <c r="F116" t="s">
        <v>692</v>
      </c>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38" ht="15.75" customHeight="1">
      <c r="A117" s="98" t="s">
        <v>697</v>
      </c>
      <c r="B117" s="98" t="s">
        <v>698</v>
      </c>
      <c r="C117" s="98" t="s">
        <v>12</v>
      </c>
      <c r="E117"/>
      <c r="F117" t="s">
        <v>693</v>
      </c>
      <c r="G117"/>
      <c r="H117"/>
      <c r="I117"/>
      <c r="J117"/>
      <c r="K117"/>
      <c r="L117"/>
      <c r="M117"/>
      <c r="N117"/>
      <c r="O117"/>
      <c r="P117"/>
      <c r="Q117"/>
      <c r="R117"/>
      <c r="S117"/>
      <c r="T117"/>
      <c r="U117"/>
      <c r="V117"/>
      <c r="W117"/>
      <c r="X117"/>
      <c r="Y117"/>
      <c r="Z117"/>
      <c r="AA117"/>
      <c r="AB117"/>
      <c r="AC117"/>
      <c r="AD117"/>
      <c r="AE117"/>
      <c r="AF117"/>
      <c r="AG117"/>
      <c r="AH117"/>
      <c r="AI117"/>
      <c r="AJ117"/>
      <c r="AK117"/>
      <c r="AL117"/>
    </row>
    <row r="118" spans="1:38" ht="15.75" customHeight="1">
      <c r="A118" s="98" t="s">
        <v>697</v>
      </c>
      <c r="B118" s="98" t="s">
        <v>699</v>
      </c>
      <c r="C118" s="98" t="s">
        <v>12</v>
      </c>
      <c r="E118"/>
      <c r="F118" t="s">
        <v>694</v>
      </c>
      <c r="G118"/>
      <c r="H118"/>
      <c r="I118"/>
      <c r="J118"/>
      <c r="K118"/>
      <c r="L118"/>
      <c r="M118"/>
      <c r="N118"/>
      <c r="O118"/>
      <c r="P118"/>
      <c r="Q118"/>
      <c r="R118"/>
      <c r="S118"/>
      <c r="T118"/>
      <c r="U118"/>
      <c r="V118"/>
      <c r="W118"/>
      <c r="X118"/>
      <c r="Y118"/>
      <c r="Z118"/>
      <c r="AA118"/>
      <c r="AB118"/>
      <c r="AC118"/>
      <c r="AD118"/>
      <c r="AE118"/>
      <c r="AF118"/>
      <c r="AG118"/>
      <c r="AH118"/>
      <c r="AI118"/>
      <c r="AJ118"/>
      <c r="AK118"/>
      <c r="AL118"/>
    </row>
    <row r="119" spans="1:38" ht="15.75" customHeight="1">
      <c r="A119" s="98" t="s">
        <v>697</v>
      </c>
      <c r="B119" s="98" t="s">
        <v>700</v>
      </c>
      <c r="C119" s="98" t="s">
        <v>12</v>
      </c>
      <c r="E119"/>
      <c r="F119" t="s">
        <v>695</v>
      </c>
      <c r="G119"/>
      <c r="H119"/>
      <c r="I119"/>
      <c r="J119"/>
      <c r="K119"/>
      <c r="L119"/>
      <c r="M119"/>
      <c r="N119"/>
      <c r="O119"/>
      <c r="P119"/>
      <c r="Q119"/>
      <c r="R119"/>
      <c r="S119"/>
      <c r="T119"/>
      <c r="U119"/>
      <c r="V119"/>
      <c r="W119"/>
      <c r="X119"/>
      <c r="Y119"/>
      <c r="Z119"/>
      <c r="AA119"/>
      <c r="AB119"/>
      <c r="AC119"/>
      <c r="AD119"/>
      <c r="AE119"/>
      <c r="AF119"/>
      <c r="AG119"/>
      <c r="AH119"/>
      <c r="AI119"/>
      <c r="AJ119"/>
      <c r="AK119"/>
      <c r="AL119"/>
    </row>
    <row r="120" spans="1:38" ht="15.75" customHeight="1">
      <c r="A120" s="98" t="s">
        <v>697</v>
      </c>
      <c r="B120" s="98" t="s">
        <v>701</v>
      </c>
      <c r="C120" s="98" t="s">
        <v>12</v>
      </c>
      <c r="E120" t="s">
        <v>1347</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row>
    <row r="121" spans="1:38" ht="15.75" customHeight="1">
      <c r="A121" s="98" t="s">
        <v>697</v>
      </c>
      <c r="B121" s="98" t="s">
        <v>702</v>
      </c>
      <c r="C121" s="98" t="s">
        <v>12</v>
      </c>
      <c r="E121" t="s">
        <v>696</v>
      </c>
      <c r="F121" t="s">
        <v>696</v>
      </c>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38" ht="15.75" customHeight="1">
      <c r="A122" s="98" t="s">
        <v>697</v>
      </c>
      <c r="B122" s="98" t="s">
        <v>703</v>
      </c>
      <c r="C122" s="98" t="s">
        <v>12</v>
      </c>
      <c r="E122" t="s">
        <v>1348</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38" ht="15.75" customHeight="1">
      <c r="A123" s="98" t="s">
        <v>697</v>
      </c>
      <c r="B123" s="98" t="s">
        <v>704</v>
      </c>
      <c r="C123" s="98" t="s">
        <v>12</v>
      </c>
      <c r="E123" t="s">
        <v>697</v>
      </c>
      <c r="F123" t="s">
        <v>698</v>
      </c>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38" ht="15.75" customHeight="1">
      <c r="A124" s="98" t="s">
        <v>697</v>
      </c>
      <c r="B124" s="98" t="s">
        <v>705</v>
      </c>
      <c r="C124" s="98" t="s">
        <v>12</v>
      </c>
      <c r="E124"/>
      <c r="F124" t="s">
        <v>699</v>
      </c>
      <c r="G124"/>
      <c r="H124"/>
      <c r="I124"/>
      <c r="J124"/>
      <c r="K124"/>
      <c r="L124"/>
      <c r="M124"/>
      <c r="N124"/>
      <c r="O124"/>
      <c r="P124"/>
      <c r="Q124"/>
      <c r="R124"/>
      <c r="S124"/>
      <c r="T124"/>
      <c r="U124"/>
      <c r="V124"/>
      <c r="W124"/>
      <c r="X124"/>
      <c r="Y124"/>
      <c r="Z124"/>
      <c r="AA124"/>
      <c r="AB124"/>
      <c r="AC124"/>
      <c r="AD124"/>
      <c r="AE124"/>
      <c r="AF124"/>
      <c r="AG124"/>
      <c r="AH124"/>
      <c r="AI124"/>
      <c r="AJ124"/>
      <c r="AK124"/>
      <c r="AL124"/>
    </row>
    <row r="125" spans="1:38" ht="15.75" customHeight="1">
      <c r="A125" s="98" t="s">
        <v>697</v>
      </c>
      <c r="B125" s="98" t="s">
        <v>706</v>
      </c>
      <c r="C125" s="98" t="s">
        <v>12</v>
      </c>
      <c r="E125"/>
      <c r="F125" t="s">
        <v>700</v>
      </c>
      <c r="G125"/>
      <c r="H125"/>
      <c r="I125"/>
      <c r="J125"/>
      <c r="K125"/>
      <c r="L125"/>
      <c r="M125"/>
      <c r="N125"/>
      <c r="O125"/>
      <c r="P125"/>
      <c r="Q125"/>
      <c r="R125"/>
      <c r="S125"/>
      <c r="T125"/>
      <c r="U125"/>
      <c r="V125"/>
      <c r="W125"/>
      <c r="X125"/>
      <c r="Y125"/>
      <c r="Z125"/>
      <c r="AA125"/>
      <c r="AB125"/>
      <c r="AC125"/>
      <c r="AD125"/>
      <c r="AE125"/>
      <c r="AF125"/>
      <c r="AG125"/>
      <c r="AH125"/>
      <c r="AI125"/>
      <c r="AJ125"/>
      <c r="AK125"/>
      <c r="AL125"/>
    </row>
    <row r="126" spans="1:38" ht="15.75" customHeight="1">
      <c r="A126" s="98" t="s">
        <v>697</v>
      </c>
      <c r="B126" s="98" t="s">
        <v>707</v>
      </c>
      <c r="C126" s="98" t="s">
        <v>12</v>
      </c>
      <c r="E126"/>
      <c r="F126" t="s">
        <v>701</v>
      </c>
      <c r="G126"/>
      <c r="H126"/>
      <c r="I126"/>
      <c r="J126"/>
      <c r="K126"/>
      <c r="L126"/>
      <c r="M126"/>
      <c r="N126"/>
      <c r="O126"/>
      <c r="P126"/>
      <c r="Q126"/>
      <c r="R126"/>
      <c r="S126"/>
      <c r="T126"/>
      <c r="U126"/>
      <c r="V126"/>
      <c r="W126"/>
      <c r="X126"/>
      <c r="Y126"/>
      <c r="Z126"/>
      <c r="AA126"/>
      <c r="AB126"/>
      <c r="AC126"/>
      <c r="AD126"/>
      <c r="AE126"/>
      <c r="AF126"/>
      <c r="AG126"/>
      <c r="AH126"/>
      <c r="AI126"/>
      <c r="AJ126"/>
      <c r="AK126"/>
      <c r="AL126"/>
    </row>
    <row r="127" spans="1:38" ht="15.75" customHeight="1">
      <c r="A127" s="98" t="s">
        <v>697</v>
      </c>
      <c r="B127" s="98" t="s">
        <v>708</v>
      </c>
      <c r="C127" s="98" t="s">
        <v>12</v>
      </c>
      <c r="E127"/>
      <c r="F127" t="s">
        <v>702</v>
      </c>
      <c r="G127"/>
      <c r="H127"/>
      <c r="I127"/>
      <c r="J127"/>
      <c r="K127"/>
      <c r="L127"/>
      <c r="M127"/>
      <c r="N127"/>
      <c r="O127"/>
      <c r="P127"/>
      <c r="Q127"/>
      <c r="R127"/>
      <c r="S127"/>
      <c r="T127"/>
      <c r="U127"/>
      <c r="V127"/>
      <c r="W127"/>
      <c r="X127"/>
      <c r="Y127"/>
      <c r="Z127"/>
      <c r="AA127"/>
      <c r="AB127"/>
      <c r="AC127"/>
      <c r="AD127"/>
      <c r="AE127"/>
      <c r="AF127"/>
      <c r="AG127"/>
      <c r="AH127"/>
      <c r="AI127"/>
      <c r="AJ127"/>
      <c r="AK127"/>
      <c r="AL127"/>
    </row>
    <row r="128" spans="1:38" ht="15.75" customHeight="1">
      <c r="A128" s="98" t="s">
        <v>697</v>
      </c>
      <c r="B128" s="98" t="s">
        <v>709</v>
      </c>
      <c r="C128" s="98" t="s">
        <v>12</v>
      </c>
      <c r="E128"/>
      <c r="F128" t="s">
        <v>703</v>
      </c>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ht="15.75" customHeight="1">
      <c r="A129" s="98" t="s">
        <v>697</v>
      </c>
      <c r="B129" s="98" t="s">
        <v>710</v>
      </c>
      <c r="C129" s="98" t="s">
        <v>12</v>
      </c>
      <c r="E129"/>
      <c r="F129" t="s">
        <v>704</v>
      </c>
      <c r="G129"/>
      <c r="H129"/>
      <c r="I129"/>
      <c r="J129"/>
      <c r="K129"/>
      <c r="L129"/>
      <c r="M129"/>
      <c r="N129"/>
      <c r="O129"/>
      <c r="P129"/>
      <c r="Q129"/>
      <c r="R129"/>
      <c r="S129"/>
      <c r="T129"/>
      <c r="U129"/>
      <c r="V129"/>
      <c r="W129"/>
      <c r="X129"/>
      <c r="Y129"/>
      <c r="Z129"/>
      <c r="AA129"/>
      <c r="AB129"/>
      <c r="AC129"/>
      <c r="AD129"/>
      <c r="AE129"/>
      <c r="AF129"/>
      <c r="AG129"/>
      <c r="AH129"/>
      <c r="AI129"/>
      <c r="AJ129"/>
      <c r="AK129"/>
      <c r="AL129"/>
    </row>
    <row r="130" spans="1:38" ht="15.75" customHeight="1">
      <c r="A130" s="98" t="s">
        <v>697</v>
      </c>
      <c r="B130" s="98" t="s">
        <v>711</v>
      </c>
      <c r="C130" s="98" t="s">
        <v>12</v>
      </c>
      <c r="E130"/>
      <c r="F130" t="s">
        <v>705</v>
      </c>
      <c r="G130"/>
      <c r="H130"/>
      <c r="I130"/>
      <c r="J130"/>
      <c r="K130"/>
      <c r="L130"/>
      <c r="M130"/>
      <c r="N130"/>
      <c r="O130"/>
      <c r="P130"/>
      <c r="Q130"/>
      <c r="R130"/>
      <c r="S130"/>
      <c r="T130"/>
      <c r="U130"/>
      <c r="V130"/>
      <c r="W130"/>
      <c r="X130"/>
      <c r="Y130"/>
      <c r="Z130"/>
      <c r="AA130"/>
      <c r="AB130"/>
      <c r="AC130"/>
      <c r="AD130"/>
      <c r="AE130"/>
      <c r="AF130"/>
      <c r="AG130"/>
      <c r="AH130"/>
      <c r="AI130"/>
      <c r="AJ130"/>
      <c r="AK130"/>
      <c r="AL130"/>
    </row>
    <row r="131" spans="1:38" ht="15.75" customHeight="1">
      <c r="A131" s="98" t="s">
        <v>697</v>
      </c>
      <c r="B131" s="98" t="s">
        <v>712</v>
      </c>
      <c r="C131" s="98" t="s">
        <v>12</v>
      </c>
      <c r="E131"/>
      <c r="F131" t="s">
        <v>706</v>
      </c>
      <c r="G131"/>
      <c r="H131"/>
      <c r="I131"/>
      <c r="J131"/>
      <c r="K131"/>
      <c r="L131"/>
      <c r="M131"/>
      <c r="N131"/>
      <c r="O131"/>
      <c r="P131"/>
      <c r="Q131"/>
      <c r="R131"/>
      <c r="S131"/>
      <c r="T131"/>
      <c r="U131"/>
      <c r="V131"/>
      <c r="W131"/>
      <c r="X131"/>
      <c r="Y131"/>
      <c r="Z131"/>
      <c r="AA131"/>
      <c r="AB131"/>
      <c r="AC131"/>
      <c r="AD131"/>
      <c r="AE131"/>
      <c r="AF131"/>
      <c r="AG131"/>
      <c r="AH131"/>
      <c r="AI131"/>
      <c r="AJ131"/>
      <c r="AK131"/>
      <c r="AL131"/>
    </row>
    <row r="132" spans="1:38" ht="15.75" customHeight="1">
      <c r="A132" s="98" t="s">
        <v>697</v>
      </c>
      <c r="B132" s="98" t="s">
        <v>713</v>
      </c>
      <c r="C132" s="98" t="s">
        <v>12</v>
      </c>
      <c r="E132"/>
      <c r="F132" t="s">
        <v>707</v>
      </c>
      <c r="G132"/>
      <c r="H132"/>
      <c r="I132"/>
      <c r="J132"/>
      <c r="K132"/>
      <c r="L132"/>
      <c r="M132"/>
      <c r="N132"/>
      <c r="O132"/>
      <c r="P132"/>
      <c r="Q132"/>
      <c r="R132"/>
      <c r="S132"/>
      <c r="T132"/>
      <c r="U132"/>
      <c r="V132"/>
      <c r="W132"/>
      <c r="X132"/>
      <c r="Y132"/>
      <c r="Z132"/>
      <c r="AA132"/>
      <c r="AB132"/>
      <c r="AC132"/>
      <c r="AD132"/>
      <c r="AE132"/>
      <c r="AF132"/>
      <c r="AG132"/>
      <c r="AH132"/>
      <c r="AI132"/>
      <c r="AJ132"/>
      <c r="AK132"/>
      <c r="AL132"/>
    </row>
    <row r="133" spans="1:38" ht="15.75" customHeight="1">
      <c r="A133" s="98" t="s">
        <v>697</v>
      </c>
      <c r="B133" s="98" t="s">
        <v>714</v>
      </c>
      <c r="C133" s="98" t="s">
        <v>12</v>
      </c>
      <c r="E133"/>
      <c r="F133" t="s">
        <v>708</v>
      </c>
      <c r="G133"/>
      <c r="H133"/>
      <c r="I133"/>
      <c r="J133"/>
      <c r="K133"/>
      <c r="L133"/>
      <c r="M133"/>
      <c r="N133"/>
      <c r="O133"/>
      <c r="P133"/>
      <c r="Q133"/>
      <c r="R133"/>
      <c r="S133"/>
      <c r="T133"/>
      <c r="U133"/>
      <c r="V133"/>
      <c r="W133"/>
      <c r="X133"/>
      <c r="Y133"/>
      <c r="Z133"/>
      <c r="AA133"/>
      <c r="AB133"/>
      <c r="AC133"/>
      <c r="AD133"/>
      <c r="AE133"/>
      <c r="AF133"/>
      <c r="AG133"/>
      <c r="AH133"/>
      <c r="AI133"/>
      <c r="AJ133"/>
      <c r="AK133"/>
      <c r="AL133"/>
    </row>
    <row r="134" spans="1:38" ht="15.75" customHeight="1">
      <c r="A134" s="98" t="s">
        <v>697</v>
      </c>
      <c r="B134" s="98" t="s">
        <v>715</v>
      </c>
      <c r="C134" s="98" t="s">
        <v>12</v>
      </c>
      <c r="E134"/>
      <c r="F134" t="s">
        <v>709</v>
      </c>
      <c r="G134"/>
      <c r="H134"/>
      <c r="I134"/>
      <c r="J134"/>
      <c r="K134"/>
      <c r="L134"/>
      <c r="M134"/>
      <c r="N134"/>
      <c r="O134"/>
      <c r="P134"/>
      <c r="Q134"/>
      <c r="R134"/>
      <c r="S134"/>
      <c r="T134"/>
      <c r="U134"/>
      <c r="V134"/>
      <c r="W134"/>
      <c r="X134"/>
      <c r="Y134"/>
      <c r="Z134"/>
      <c r="AA134"/>
      <c r="AB134"/>
      <c r="AC134"/>
      <c r="AD134"/>
      <c r="AE134"/>
      <c r="AF134"/>
      <c r="AG134"/>
      <c r="AH134"/>
      <c r="AI134"/>
      <c r="AJ134"/>
      <c r="AK134"/>
      <c r="AL134"/>
    </row>
    <row r="135" spans="1:38" ht="15.75" customHeight="1">
      <c r="A135" s="98" t="s">
        <v>697</v>
      </c>
      <c r="B135" s="98" t="s">
        <v>716</v>
      </c>
      <c r="C135" s="98" t="s">
        <v>12</v>
      </c>
      <c r="E135"/>
      <c r="F135" t="s">
        <v>710</v>
      </c>
      <c r="G135"/>
      <c r="H135"/>
      <c r="I135"/>
      <c r="J135"/>
      <c r="K135"/>
      <c r="L135"/>
      <c r="M135"/>
      <c r="N135"/>
      <c r="O135"/>
      <c r="P135"/>
      <c r="Q135"/>
      <c r="R135"/>
      <c r="S135"/>
      <c r="T135"/>
      <c r="U135"/>
      <c r="V135"/>
      <c r="W135"/>
      <c r="X135"/>
      <c r="Y135"/>
      <c r="Z135"/>
      <c r="AA135"/>
      <c r="AB135"/>
      <c r="AC135"/>
      <c r="AD135"/>
      <c r="AE135"/>
      <c r="AF135"/>
      <c r="AG135"/>
      <c r="AH135"/>
      <c r="AI135"/>
      <c r="AJ135"/>
      <c r="AK135"/>
      <c r="AL135"/>
    </row>
    <row r="136" spans="1:38" ht="15.75" customHeight="1">
      <c r="A136" s="98" t="s">
        <v>697</v>
      </c>
      <c r="B136" s="98" t="s">
        <v>717</v>
      </c>
      <c r="C136" s="98" t="s">
        <v>12</v>
      </c>
      <c r="E136"/>
      <c r="F136" t="s">
        <v>711</v>
      </c>
      <c r="G136"/>
      <c r="H136"/>
      <c r="I136"/>
      <c r="J136"/>
      <c r="K136"/>
      <c r="L136"/>
      <c r="M136"/>
      <c r="N136"/>
      <c r="O136"/>
      <c r="P136"/>
      <c r="Q136"/>
      <c r="R136"/>
      <c r="S136"/>
      <c r="T136"/>
      <c r="U136"/>
      <c r="V136"/>
      <c r="W136"/>
      <c r="X136"/>
      <c r="Y136"/>
      <c r="Z136"/>
      <c r="AA136"/>
      <c r="AB136"/>
      <c r="AC136"/>
      <c r="AD136"/>
      <c r="AE136"/>
      <c r="AF136"/>
      <c r="AG136"/>
      <c r="AH136"/>
      <c r="AI136"/>
      <c r="AJ136"/>
      <c r="AK136"/>
      <c r="AL136"/>
    </row>
    <row r="137" spans="1:38" ht="15.75" customHeight="1">
      <c r="A137" s="98" t="s">
        <v>697</v>
      </c>
      <c r="B137" s="98" t="s">
        <v>718</v>
      </c>
      <c r="C137" s="98" t="s">
        <v>12</v>
      </c>
      <c r="E137"/>
      <c r="F137" t="s">
        <v>712</v>
      </c>
      <c r="G137"/>
      <c r="H137"/>
      <c r="I137"/>
      <c r="J137"/>
      <c r="K137"/>
      <c r="L137"/>
      <c r="M137"/>
      <c r="N137"/>
      <c r="O137"/>
      <c r="P137"/>
      <c r="Q137"/>
      <c r="R137"/>
      <c r="S137"/>
      <c r="T137"/>
      <c r="U137"/>
      <c r="V137"/>
      <c r="W137"/>
      <c r="X137"/>
      <c r="Y137"/>
      <c r="Z137"/>
      <c r="AA137"/>
      <c r="AB137"/>
      <c r="AC137"/>
      <c r="AD137"/>
      <c r="AE137"/>
      <c r="AF137"/>
      <c r="AG137"/>
      <c r="AH137"/>
      <c r="AI137"/>
      <c r="AJ137"/>
      <c r="AK137"/>
      <c r="AL137"/>
    </row>
    <row r="138" spans="1:38" ht="15.75" customHeight="1">
      <c r="A138" s="98" t="s">
        <v>697</v>
      </c>
      <c r="B138" s="98" t="s">
        <v>719</v>
      </c>
      <c r="C138" s="98" t="s">
        <v>12</v>
      </c>
      <c r="E138"/>
      <c r="F138" t="s">
        <v>713</v>
      </c>
      <c r="G138"/>
      <c r="H138"/>
      <c r="I138"/>
      <c r="J138"/>
      <c r="K138"/>
      <c r="L138"/>
      <c r="M138"/>
      <c r="N138"/>
      <c r="O138"/>
      <c r="P138"/>
      <c r="Q138"/>
      <c r="R138"/>
      <c r="S138"/>
      <c r="T138"/>
      <c r="U138"/>
      <c r="V138"/>
      <c r="W138"/>
      <c r="X138"/>
      <c r="Y138"/>
      <c r="Z138"/>
      <c r="AA138"/>
      <c r="AB138"/>
      <c r="AC138"/>
      <c r="AD138"/>
      <c r="AE138"/>
      <c r="AF138"/>
      <c r="AG138"/>
      <c r="AH138"/>
      <c r="AI138"/>
      <c r="AJ138"/>
      <c r="AK138"/>
      <c r="AL138"/>
    </row>
    <row r="139" spans="1:38" ht="15.75" customHeight="1">
      <c r="A139" s="98" t="s">
        <v>697</v>
      </c>
      <c r="B139" s="98" t="s">
        <v>720</v>
      </c>
      <c r="C139" s="98" t="s">
        <v>12</v>
      </c>
      <c r="E139"/>
      <c r="F139" t="s">
        <v>714</v>
      </c>
      <c r="G139"/>
      <c r="H139"/>
      <c r="I139"/>
      <c r="J139"/>
      <c r="K139"/>
      <c r="L139"/>
      <c r="M139"/>
      <c r="N139"/>
      <c r="O139"/>
      <c r="P139"/>
      <c r="Q139"/>
      <c r="R139"/>
      <c r="S139"/>
      <c r="T139"/>
      <c r="U139"/>
      <c r="V139"/>
      <c r="W139"/>
      <c r="X139"/>
      <c r="Y139"/>
      <c r="Z139"/>
      <c r="AA139"/>
      <c r="AB139"/>
      <c r="AC139"/>
      <c r="AD139"/>
      <c r="AE139"/>
      <c r="AF139"/>
      <c r="AG139"/>
      <c r="AH139"/>
      <c r="AI139"/>
      <c r="AJ139"/>
      <c r="AK139"/>
      <c r="AL139"/>
    </row>
    <row r="140" spans="1:38" ht="15.75" customHeight="1">
      <c r="A140" s="98" t="s">
        <v>697</v>
      </c>
      <c r="B140" s="98" t="s">
        <v>721</v>
      </c>
      <c r="C140" s="98" t="s">
        <v>12</v>
      </c>
      <c r="E140"/>
      <c r="F140" t="s">
        <v>715</v>
      </c>
      <c r="G140"/>
      <c r="H140"/>
      <c r="I140"/>
      <c r="J140"/>
      <c r="K140"/>
      <c r="L140"/>
      <c r="M140"/>
      <c r="N140"/>
      <c r="O140"/>
      <c r="P140"/>
      <c r="Q140"/>
      <c r="R140"/>
      <c r="S140"/>
      <c r="T140"/>
      <c r="U140"/>
      <c r="V140"/>
      <c r="W140"/>
      <c r="X140"/>
      <c r="Y140"/>
      <c r="Z140"/>
      <c r="AA140"/>
      <c r="AB140"/>
      <c r="AC140"/>
      <c r="AD140"/>
      <c r="AE140"/>
      <c r="AF140"/>
      <c r="AG140"/>
      <c r="AH140"/>
      <c r="AI140"/>
      <c r="AJ140"/>
      <c r="AK140"/>
      <c r="AL140"/>
    </row>
    <row r="141" spans="1:38" ht="15.75" customHeight="1">
      <c r="A141" s="98" t="s">
        <v>697</v>
      </c>
      <c r="B141" s="98" t="s">
        <v>722</v>
      </c>
      <c r="C141" s="98" t="s">
        <v>12</v>
      </c>
      <c r="E141"/>
      <c r="F141" t="s">
        <v>716</v>
      </c>
      <c r="G141"/>
      <c r="H141"/>
      <c r="I141"/>
      <c r="J141"/>
      <c r="K141"/>
      <c r="L141"/>
      <c r="M141"/>
      <c r="N141"/>
      <c r="O141"/>
      <c r="P141"/>
      <c r="Q141"/>
      <c r="R141"/>
      <c r="S141"/>
      <c r="T141"/>
      <c r="U141"/>
      <c r="V141"/>
      <c r="W141"/>
      <c r="X141"/>
      <c r="Y141"/>
      <c r="Z141"/>
      <c r="AA141"/>
      <c r="AB141"/>
      <c r="AC141"/>
      <c r="AD141"/>
      <c r="AE141"/>
      <c r="AF141"/>
      <c r="AG141"/>
      <c r="AH141"/>
      <c r="AI141"/>
      <c r="AJ141"/>
      <c r="AK141"/>
      <c r="AL141"/>
    </row>
    <row r="142" spans="1:38" ht="15.75" customHeight="1">
      <c r="A142" s="98" t="s">
        <v>697</v>
      </c>
      <c r="B142" s="98" t="s">
        <v>723</v>
      </c>
      <c r="C142" s="98" t="s">
        <v>12</v>
      </c>
      <c r="E142"/>
      <c r="F142" t="s">
        <v>717</v>
      </c>
      <c r="G142"/>
      <c r="H142"/>
      <c r="I142"/>
      <c r="J142"/>
      <c r="K142"/>
      <c r="L142"/>
      <c r="M142"/>
      <c r="N142"/>
      <c r="O142"/>
      <c r="P142"/>
      <c r="Q142"/>
      <c r="R142"/>
      <c r="S142"/>
      <c r="T142"/>
      <c r="U142"/>
      <c r="V142"/>
      <c r="W142"/>
      <c r="X142"/>
      <c r="Y142"/>
      <c r="Z142"/>
      <c r="AA142"/>
      <c r="AB142"/>
      <c r="AC142"/>
      <c r="AD142"/>
      <c r="AE142"/>
      <c r="AF142"/>
      <c r="AG142"/>
      <c r="AH142"/>
      <c r="AI142"/>
      <c r="AJ142"/>
      <c r="AK142"/>
      <c r="AL142"/>
    </row>
    <row r="143" spans="1:38" ht="15.75" customHeight="1">
      <c r="A143" s="98" t="s">
        <v>697</v>
      </c>
      <c r="B143" s="98" t="s">
        <v>724</v>
      </c>
      <c r="C143" s="98" t="s">
        <v>12</v>
      </c>
      <c r="E143"/>
      <c r="F143" t="s">
        <v>718</v>
      </c>
      <c r="G143"/>
      <c r="H143"/>
      <c r="I143"/>
      <c r="J143"/>
      <c r="K143"/>
      <c r="L143"/>
      <c r="M143"/>
      <c r="N143"/>
      <c r="O143"/>
      <c r="P143"/>
      <c r="Q143"/>
      <c r="R143"/>
      <c r="S143"/>
      <c r="T143"/>
      <c r="U143"/>
      <c r="V143"/>
      <c r="W143"/>
      <c r="X143"/>
      <c r="Y143"/>
      <c r="Z143"/>
      <c r="AA143"/>
      <c r="AB143"/>
      <c r="AC143"/>
      <c r="AD143"/>
      <c r="AE143"/>
      <c r="AF143"/>
      <c r="AG143"/>
      <c r="AH143"/>
      <c r="AI143"/>
      <c r="AJ143"/>
      <c r="AK143"/>
      <c r="AL143"/>
    </row>
    <row r="144" spans="1:38" ht="15.75" customHeight="1">
      <c r="A144" s="98" t="s">
        <v>697</v>
      </c>
      <c r="B144" s="98" t="s">
        <v>725</v>
      </c>
      <c r="C144" s="98" t="s">
        <v>12</v>
      </c>
      <c r="E144"/>
      <c r="F144" t="s">
        <v>719</v>
      </c>
      <c r="G144"/>
      <c r="H144"/>
      <c r="I144"/>
      <c r="J144"/>
      <c r="K144"/>
      <c r="L144"/>
      <c r="M144"/>
      <c r="N144"/>
      <c r="O144"/>
      <c r="P144"/>
      <c r="Q144"/>
      <c r="R144"/>
      <c r="S144"/>
      <c r="T144"/>
      <c r="U144"/>
      <c r="V144"/>
      <c r="W144"/>
      <c r="X144"/>
      <c r="Y144"/>
      <c r="Z144"/>
      <c r="AA144"/>
      <c r="AB144"/>
      <c r="AC144"/>
      <c r="AD144"/>
      <c r="AE144"/>
      <c r="AF144"/>
      <c r="AG144"/>
      <c r="AH144"/>
      <c r="AI144"/>
      <c r="AJ144"/>
      <c r="AK144"/>
      <c r="AL144"/>
    </row>
    <row r="145" spans="1:38" ht="15.75" customHeight="1">
      <c r="A145" s="98" t="s">
        <v>726</v>
      </c>
      <c r="B145" s="98" t="s">
        <v>726</v>
      </c>
      <c r="C145" s="98" t="s">
        <v>580</v>
      </c>
      <c r="E145"/>
      <c r="F145" t="s">
        <v>720</v>
      </c>
      <c r="G145"/>
      <c r="H145"/>
      <c r="I145"/>
      <c r="J145"/>
      <c r="K145"/>
      <c r="L145"/>
      <c r="M145"/>
      <c r="N145"/>
      <c r="O145"/>
      <c r="P145"/>
      <c r="Q145"/>
      <c r="R145"/>
      <c r="S145"/>
      <c r="T145"/>
      <c r="U145"/>
      <c r="V145"/>
      <c r="W145"/>
      <c r="X145"/>
      <c r="Y145"/>
      <c r="Z145"/>
      <c r="AA145"/>
      <c r="AB145"/>
      <c r="AC145"/>
      <c r="AD145"/>
      <c r="AE145"/>
      <c r="AF145"/>
      <c r="AG145"/>
      <c r="AH145"/>
      <c r="AI145"/>
      <c r="AJ145"/>
      <c r="AK145"/>
      <c r="AL145"/>
    </row>
    <row r="146" spans="1:38" ht="15.75" customHeight="1">
      <c r="A146" s="98" t="s">
        <v>727</v>
      </c>
      <c r="B146" s="98" t="s">
        <v>728</v>
      </c>
      <c r="C146" s="98" t="s">
        <v>580</v>
      </c>
      <c r="E146"/>
      <c r="F146" t="s">
        <v>721</v>
      </c>
      <c r="G146"/>
      <c r="H146"/>
      <c r="I146"/>
      <c r="J146"/>
      <c r="K146"/>
      <c r="L146"/>
      <c r="M146"/>
      <c r="N146"/>
      <c r="O146"/>
      <c r="P146"/>
      <c r="Q146"/>
      <c r="R146"/>
      <c r="S146"/>
      <c r="T146"/>
      <c r="U146"/>
      <c r="V146"/>
      <c r="W146"/>
      <c r="X146"/>
      <c r="Y146"/>
      <c r="Z146"/>
      <c r="AA146"/>
      <c r="AB146"/>
      <c r="AC146"/>
      <c r="AD146"/>
      <c r="AE146"/>
      <c r="AF146"/>
      <c r="AG146"/>
      <c r="AH146"/>
      <c r="AI146"/>
      <c r="AJ146"/>
      <c r="AK146"/>
      <c r="AL146"/>
    </row>
    <row r="147" spans="1:38" ht="15.75" customHeight="1">
      <c r="A147" s="98" t="s">
        <v>727</v>
      </c>
      <c r="B147" s="98" t="s">
        <v>729</v>
      </c>
      <c r="C147" s="98" t="s">
        <v>580</v>
      </c>
      <c r="E147"/>
      <c r="F147" t="s">
        <v>722</v>
      </c>
      <c r="G147"/>
      <c r="H147"/>
      <c r="I147"/>
      <c r="J147"/>
      <c r="K147"/>
      <c r="L147"/>
      <c r="M147"/>
      <c r="N147"/>
      <c r="O147"/>
      <c r="P147"/>
      <c r="Q147"/>
      <c r="R147"/>
      <c r="S147"/>
      <c r="T147"/>
      <c r="U147"/>
      <c r="V147"/>
      <c r="W147"/>
      <c r="X147"/>
      <c r="Y147"/>
      <c r="Z147"/>
      <c r="AA147"/>
      <c r="AB147"/>
      <c r="AC147"/>
      <c r="AD147"/>
      <c r="AE147"/>
      <c r="AF147"/>
      <c r="AG147"/>
      <c r="AH147"/>
      <c r="AI147"/>
      <c r="AJ147"/>
      <c r="AK147"/>
      <c r="AL147"/>
    </row>
    <row r="148" spans="1:38" ht="15.75" customHeight="1">
      <c r="A148" s="98" t="s">
        <v>730</v>
      </c>
      <c r="B148" s="98" t="s">
        <v>731</v>
      </c>
      <c r="C148" s="98" t="s">
        <v>580</v>
      </c>
      <c r="E148"/>
      <c r="F148" t="s">
        <v>723</v>
      </c>
      <c r="G148"/>
      <c r="H148"/>
      <c r="I148"/>
      <c r="J148"/>
      <c r="K148"/>
      <c r="L148"/>
      <c r="M148"/>
      <c r="N148"/>
      <c r="O148"/>
      <c r="P148"/>
      <c r="Q148"/>
      <c r="R148"/>
      <c r="S148"/>
      <c r="T148"/>
      <c r="U148"/>
      <c r="V148"/>
      <c r="W148"/>
      <c r="X148"/>
      <c r="Y148"/>
      <c r="Z148"/>
      <c r="AA148"/>
      <c r="AB148"/>
      <c r="AC148"/>
      <c r="AD148"/>
      <c r="AE148"/>
      <c r="AF148"/>
      <c r="AG148"/>
      <c r="AH148"/>
      <c r="AI148"/>
      <c r="AJ148"/>
      <c r="AK148"/>
      <c r="AL148"/>
    </row>
    <row r="149" spans="1:38" ht="15.75" customHeight="1">
      <c r="A149" s="98" t="s">
        <v>730</v>
      </c>
      <c r="B149" s="98" t="s">
        <v>732</v>
      </c>
      <c r="C149" s="98" t="s">
        <v>580</v>
      </c>
      <c r="E149"/>
      <c r="F149" t="s">
        <v>724</v>
      </c>
      <c r="G149"/>
      <c r="H149"/>
      <c r="I149"/>
      <c r="J149"/>
      <c r="K149"/>
      <c r="L149"/>
      <c r="M149"/>
      <c r="N149"/>
      <c r="O149"/>
      <c r="P149"/>
      <c r="Q149"/>
      <c r="R149"/>
      <c r="S149"/>
      <c r="T149"/>
      <c r="U149"/>
      <c r="V149"/>
      <c r="W149"/>
      <c r="X149"/>
      <c r="Y149"/>
      <c r="Z149"/>
      <c r="AA149"/>
      <c r="AB149"/>
      <c r="AC149"/>
      <c r="AD149"/>
      <c r="AE149"/>
      <c r="AF149"/>
      <c r="AG149"/>
      <c r="AH149"/>
      <c r="AI149"/>
      <c r="AJ149"/>
      <c r="AK149"/>
      <c r="AL149"/>
    </row>
    <row r="150" spans="1:38" ht="15.75" customHeight="1">
      <c r="A150" s="98" t="s">
        <v>730</v>
      </c>
      <c r="B150" s="98" t="s">
        <v>733</v>
      </c>
      <c r="C150" s="98" t="s">
        <v>580</v>
      </c>
      <c r="E150"/>
      <c r="F150" t="s">
        <v>725</v>
      </c>
      <c r="G150"/>
      <c r="H150"/>
      <c r="I150"/>
      <c r="J150"/>
      <c r="K150"/>
      <c r="L150"/>
      <c r="M150"/>
      <c r="N150"/>
      <c r="O150"/>
      <c r="P150"/>
      <c r="Q150"/>
      <c r="R150"/>
      <c r="S150"/>
      <c r="T150"/>
      <c r="U150"/>
      <c r="V150"/>
      <c r="W150"/>
      <c r="X150"/>
      <c r="Y150"/>
      <c r="Z150"/>
      <c r="AA150"/>
      <c r="AB150"/>
      <c r="AC150"/>
      <c r="AD150"/>
      <c r="AE150"/>
      <c r="AF150"/>
      <c r="AG150"/>
      <c r="AH150"/>
      <c r="AI150"/>
      <c r="AJ150"/>
      <c r="AK150"/>
      <c r="AL150"/>
    </row>
    <row r="151" spans="1:38" ht="15.75" customHeight="1">
      <c r="A151" s="98" t="s">
        <v>730</v>
      </c>
      <c r="B151" s="98" t="s">
        <v>734</v>
      </c>
      <c r="C151" s="98" t="s">
        <v>580</v>
      </c>
      <c r="E151" t="s">
        <v>1349</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row>
    <row r="152" spans="1:38" ht="15.75" customHeight="1">
      <c r="A152" s="98" t="s">
        <v>730</v>
      </c>
      <c r="B152" s="98" t="s">
        <v>735</v>
      </c>
      <c r="C152" s="98" t="s">
        <v>580</v>
      </c>
      <c r="E152" t="s">
        <v>726</v>
      </c>
      <c r="F152" t="s">
        <v>726</v>
      </c>
      <c r="G152"/>
      <c r="H152"/>
      <c r="I152"/>
      <c r="J152"/>
      <c r="K152"/>
      <c r="L152"/>
      <c r="M152"/>
      <c r="N152"/>
      <c r="O152"/>
      <c r="P152"/>
      <c r="Q152"/>
      <c r="R152"/>
      <c r="S152"/>
      <c r="T152"/>
      <c r="U152"/>
      <c r="V152"/>
      <c r="W152"/>
      <c r="X152"/>
      <c r="Y152"/>
      <c r="Z152"/>
      <c r="AA152"/>
      <c r="AB152"/>
      <c r="AC152"/>
      <c r="AD152"/>
      <c r="AE152"/>
      <c r="AF152"/>
      <c r="AG152"/>
      <c r="AH152"/>
      <c r="AI152"/>
      <c r="AJ152"/>
      <c r="AK152"/>
      <c r="AL152"/>
    </row>
    <row r="153" spans="1:38" ht="15.75" customHeight="1">
      <c r="A153" s="98" t="s">
        <v>730</v>
      </c>
      <c r="B153" s="98" t="s">
        <v>736</v>
      </c>
      <c r="C153" s="98" t="s">
        <v>580</v>
      </c>
      <c r="E153" t="s">
        <v>1350</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row>
    <row r="154" spans="1:38" ht="15.75" customHeight="1">
      <c r="A154" s="98" t="s">
        <v>730</v>
      </c>
      <c r="B154" s="98" t="s">
        <v>737</v>
      </c>
      <c r="C154" s="98" t="s">
        <v>580</v>
      </c>
      <c r="E154" t="s">
        <v>727</v>
      </c>
      <c r="F154" t="s">
        <v>728</v>
      </c>
      <c r="G154"/>
      <c r="H154"/>
      <c r="I154"/>
      <c r="J154"/>
      <c r="K154"/>
      <c r="L154"/>
      <c r="M154"/>
      <c r="N154"/>
      <c r="O154"/>
      <c r="P154"/>
      <c r="Q154"/>
      <c r="R154"/>
      <c r="S154"/>
      <c r="T154"/>
      <c r="U154"/>
      <c r="V154"/>
      <c r="W154"/>
      <c r="X154"/>
      <c r="Y154"/>
      <c r="Z154"/>
      <c r="AA154"/>
      <c r="AB154"/>
      <c r="AC154"/>
      <c r="AD154"/>
      <c r="AE154"/>
      <c r="AF154"/>
      <c r="AG154"/>
      <c r="AH154"/>
      <c r="AI154"/>
      <c r="AJ154"/>
      <c r="AK154"/>
      <c r="AL154"/>
    </row>
    <row r="155" spans="1:38" ht="15.75" customHeight="1">
      <c r="A155" s="98" t="s">
        <v>730</v>
      </c>
      <c r="B155" s="98" t="s">
        <v>738</v>
      </c>
      <c r="C155" s="98" t="s">
        <v>580</v>
      </c>
      <c r="E155"/>
      <c r="F155" t="s">
        <v>729</v>
      </c>
      <c r="G155"/>
      <c r="H155"/>
      <c r="I155"/>
      <c r="J155"/>
      <c r="K155"/>
      <c r="L155"/>
      <c r="M155"/>
      <c r="N155"/>
      <c r="O155"/>
      <c r="P155"/>
      <c r="Q155"/>
      <c r="R155"/>
      <c r="S155"/>
      <c r="T155"/>
      <c r="U155"/>
      <c r="V155"/>
      <c r="W155"/>
      <c r="X155"/>
      <c r="Y155"/>
      <c r="Z155"/>
      <c r="AA155"/>
      <c r="AB155"/>
      <c r="AC155"/>
      <c r="AD155"/>
      <c r="AE155"/>
      <c r="AF155"/>
      <c r="AG155"/>
      <c r="AH155"/>
      <c r="AI155"/>
      <c r="AJ155"/>
      <c r="AK155"/>
      <c r="AL155"/>
    </row>
    <row r="156" spans="1:38" ht="15.75" customHeight="1">
      <c r="A156" s="98" t="s">
        <v>730</v>
      </c>
      <c r="B156" s="98" t="s">
        <v>739</v>
      </c>
      <c r="C156" s="98" t="s">
        <v>580</v>
      </c>
      <c r="E156" t="s">
        <v>1351</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row>
    <row r="157" spans="1:38" ht="15.75" customHeight="1">
      <c r="A157" s="98" t="s">
        <v>730</v>
      </c>
      <c r="B157" s="98" t="s">
        <v>740</v>
      </c>
      <c r="C157" s="98" t="s">
        <v>580</v>
      </c>
      <c r="E157" t="s">
        <v>730</v>
      </c>
      <c r="F157" t="s">
        <v>731</v>
      </c>
      <c r="G157"/>
      <c r="H157"/>
      <c r="I157"/>
      <c r="J157"/>
      <c r="K157"/>
      <c r="L157"/>
      <c r="M157"/>
      <c r="N157"/>
      <c r="O157"/>
      <c r="P157"/>
      <c r="Q157"/>
      <c r="R157"/>
      <c r="S157"/>
      <c r="T157"/>
      <c r="U157"/>
      <c r="V157"/>
      <c r="W157"/>
      <c r="X157"/>
      <c r="Y157"/>
      <c r="Z157"/>
      <c r="AA157"/>
      <c r="AB157"/>
      <c r="AC157"/>
      <c r="AD157"/>
      <c r="AE157"/>
      <c r="AF157"/>
      <c r="AG157"/>
      <c r="AH157"/>
      <c r="AI157"/>
      <c r="AJ157"/>
      <c r="AK157"/>
      <c r="AL157"/>
    </row>
    <row r="158" spans="1:38" ht="15.75" customHeight="1">
      <c r="A158" s="98" t="s">
        <v>730</v>
      </c>
      <c r="B158" s="98" t="s">
        <v>741</v>
      </c>
      <c r="C158" s="98" t="s">
        <v>580</v>
      </c>
      <c r="E158"/>
      <c r="F158" t="s">
        <v>732</v>
      </c>
      <c r="G158"/>
      <c r="H158"/>
      <c r="I158"/>
      <c r="J158"/>
      <c r="K158"/>
      <c r="L158"/>
      <c r="M158"/>
      <c r="N158"/>
      <c r="O158"/>
      <c r="P158"/>
      <c r="Q158"/>
      <c r="R158"/>
      <c r="S158"/>
      <c r="T158"/>
      <c r="U158"/>
      <c r="V158"/>
      <c r="W158"/>
      <c r="X158"/>
      <c r="Y158"/>
      <c r="Z158"/>
      <c r="AA158"/>
      <c r="AB158"/>
      <c r="AC158"/>
      <c r="AD158"/>
      <c r="AE158"/>
      <c r="AF158"/>
      <c r="AG158"/>
      <c r="AH158"/>
      <c r="AI158"/>
      <c r="AJ158"/>
      <c r="AK158"/>
      <c r="AL158"/>
    </row>
    <row r="159" spans="1:38" ht="15.75" customHeight="1">
      <c r="A159" s="98" t="s">
        <v>742</v>
      </c>
      <c r="B159" s="98" t="s">
        <v>743</v>
      </c>
      <c r="C159" s="98" t="s">
        <v>12</v>
      </c>
      <c r="E159"/>
      <c r="F159" t="s">
        <v>733</v>
      </c>
      <c r="G159"/>
      <c r="H159"/>
      <c r="I159"/>
      <c r="J159"/>
      <c r="K159"/>
      <c r="L159"/>
      <c r="M159"/>
      <c r="N159"/>
      <c r="O159"/>
      <c r="P159"/>
      <c r="Q159"/>
      <c r="R159"/>
      <c r="S159"/>
      <c r="T159"/>
      <c r="U159"/>
      <c r="V159"/>
      <c r="W159"/>
      <c r="X159"/>
      <c r="Y159"/>
      <c r="Z159"/>
      <c r="AA159"/>
      <c r="AB159"/>
      <c r="AC159"/>
      <c r="AD159"/>
      <c r="AE159"/>
      <c r="AF159"/>
      <c r="AG159"/>
      <c r="AH159"/>
      <c r="AI159"/>
      <c r="AJ159"/>
      <c r="AK159"/>
      <c r="AL159"/>
    </row>
    <row r="160" spans="1:38" ht="15.75" customHeight="1">
      <c r="A160" s="98" t="s">
        <v>742</v>
      </c>
      <c r="B160" s="98" t="s">
        <v>744</v>
      </c>
      <c r="C160" s="98" t="s">
        <v>12</v>
      </c>
      <c r="E160"/>
      <c r="F160" t="s">
        <v>734</v>
      </c>
      <c r="G160"/>
      <c r="H160"/>
      <c r="I160"/>
      <c r="J160"/>
      <c r="K160"/>
      <c r="L160"/>
      <c r="M160"/>
      <c r="N160"/>
      <c r="O160"/>
      <c r="P160"/>
      <c r="Q160"/>
      <c r="R160"/>
      <c r="S160"/>
      <c r="T160"/>
      <c r="U160"/>
      <c r="V160"/>
      <c r="W160"/>
      <c r="X160"/>
      <c r="Y160"/>
      <c r="Z160"/>
      <c r="AA160"/>
      <c r="AB160"/>
      <c r="AC160"/>
      <c r="AD160"/>
      <c r="AE160"/>
      <c r="AF160"/>
      <c r="AG160"/>
      <c r="AH160"/>
      <c r="AI160"/>
      <c r="AJ160"/>
      <c r="AK160"/>
      <c r="AL160"/>
    </row>
    <row r="161" spans="1:38" ht="15.75" customHeight="1">
      <c r="A161" s="98" t="s">
        <v>745</v>
      </c>
      <c r="B161" s="98" t="s">
        <v>284</v>
      </c>
      <c r="C161" s="98" t="s">
        <v>12</v>
      </c>
      <c r="E161"/>
      <c r="F161" t="s">
        <v>735</v>
      </c>
      <c r="G161"/>
      <c r="H161"/>
      <c r="I161"/>
      <c r="J161"/>
      <c r="K161"/>
      <c r="L161"/>
      <c r="M161"/>
      <c r="N161"/>
      <c r="O161"/>
      <c r="P161"/>
      <c r="Q161"/>
      <c r="R161"/>
      <c r="S161"/>
      <c r="T161"/>
      <c r="U161"/>
      <c r="V161"/>
      <c r="W161"/>
      <c r="X161"/>
      <c r="Y161"/>
      <c r="Z161"/>
      <c r="AA161"/>
      <c r="AB161"/>
      <c r="AC161"/>
      <c r="AD161"/>
      <c r="AE161"/>
      <c r="AF161"/>
      <c r="AG161"/>
      <c r="AH161"/>
      <c r="AI161"/>
      <c r="AJ161"/>
      <c r="AK161"/>
      <c r="AL161"/>
    </row>
    <row r="162" spans="1:38" ht="15.75" customHeight="1">
      <c r="A162" s="98" t="s">
        <v>745</v>
      </c>
      <c r="B162" s="98" t="s">
        <v>746</v>
      </c>
      <c r="C162" s="98" t="s">
        <v>12</v>
      </c>
      <c r="E162"/>
      <c r="F162" t="s">
        <v>736</v>
      </c>
      <c r="G162"/>
      <c r="H162"/>
      <c r="I162"/>
      <c r="J162"/>
      <c r="K162"/>
      <c r="L162"/>
      <c r="M162"/>
      <c r="N162"/>
      <c r="O162"/>
      <c r="P162"/>
      <c r="Q162"/>
      <c r="R162"/>
      <c r="S162"/>
      <c r="T162"/>
      <c r="U162"/>
      <c r="V162"/>
      <c r="W162"/>
      <c r="X162"/>
      <c r="Y162"/>
      <c r="Z162"/>
      <c r="AA162"/>
      <c r="AB162"/>
      <c r="AC162"/>
      <c r="AD162"/>
      <c r="AE162"/>
      <c r="AF162"/>
      <c r="AG162"/>
      <c r="AH162"/>
      <c r="AI162"/>
      <c r="AJ162"/>
      <c r="AK162"/>
      <c r="AL162"/>
    </row>
    <row r="163" spans="1:38" ht="15.75" customHeight="1">
      <c r="A163" s="98" t="s">
        <v>745</v>
      </c>
      <c r="B163" s="98" t="s">
        <v>747</v>
      </c>
      <c r="C163" s="98" t="s">
        <v>12</v>
      </c>
      <c r="E163"/>
      <c r="F163" t="s">
        <v>737</v>
      </c>
      <c r="G163"/>
      <c r="H163"/>
      <c r="I163"/>
      <c r="J163"/>
      <c r="K163"/>
      <c r="L163"/>
      <c r="M163"/>
      <c r="N163"/>
      <c r="O163"/>
      <c r="P163"/>
      <c r="Q163"/>
      <c r="R163"/>
      <c r="S163"/>
      <c r="T163"/>
      <c r="U163"/>
      <c r="V163"/>
      <c r="W163"/>
      <c r="X163"/>
      <c r="Y163"/>
      <c r="Z163"/>
      <c r="AA163"/>
      <c r="AB163"/>
      <c r="AC163"/>
      <c r="AD163"/>
      <c r="AE163"/>
      <c r="AF163"/>
      <c r="AG163"/>
      <c r="AH163"/>
      <c r="AI163"/>
      <c r="AJ163"/>
      <c r="AK163"/>
      <c r="AL163"/>
    </row>
    <row r="164" spans="1:38" ht="15.75" customHeight="1">
      <c r="A164" s="98" t="s">
        <v>745</v>
      </c>
      <c r="B164" s="98" t="s">
        <v>748</v>
      </c>
      <c r="C164" s="98" t="s">
        <v>12</v>
      </c>
      <c r="E164"/>
      <c r="F164" t="s">
        <v>738</v>
      </c>
      <c r="G164"/>
      <c r="H164"/>
      <c r="I164"/>
      <c r="J164"/>
      <c r="K164"/>
      <c r="L164"/>
      <c r="M164"/>
      <c r="N164"/>
      <c r="O164"/>
      <c r="P164"/>
      <c r="Q164"/>
      <c r="R164"/>
      <c r="S164"/>
      <c r="T164"/>
      <c r="U164"/>
      <c r="V164"/>
      <c r="W164"/>
      <c r="X164"/>
      <c r="Y164"/>
      <c r="Z164"/>
      <c r="AA164"/>
      <c r="AB164"/>
      <c r="AC164"/>
      <c r="AD164"/>
      <c r="AE164"/>
      <c r="AF164"/>
      <c r="AG164"/>
      <c r="AH164"/>
      <c r="AI164"/>
      <c r="AJ164"/>
      <c r="AK164"/>
      <c r="AL164"/>
    </row>
    <row r="165" spans="1:38" ht="15.75" customHeight="1">
      <c r="A165" s="98" t="s">
        <v>745</v>
      </c>
      <c r="B165" s="98" t="s">
        <v>749</v>
      </c>
      <c r="C165" s="98" t="s">
        <v>12</v>
      </c>
      <c r="E165"/>
      <c r="F165" t="s">
        <v>739</v>
      </c>
      <c r="G165"/>
      <c r="H165"/>
      <c r="I165"/>
      <c r="J165"/>
      <c r="K165"/>
      <c r="L165"/>
      <c r="M165"/>
      <c r="N165"/>
      <c r="O165"/>
      <c r="P165"/>
      <c r="Q165"/>
      <c r="R165"/>
      <c r="S165"/>
      <c r="T165"/>
      <c r="U165"/>
      <c r="V165"/>
      <c r="W165"/>
      <c r="X165"/>
      <c r="Y165"/>
      <c r="Z165"/>
      <c r="AA165"/>
      <c r="AB165"/>
      <c r="AC165"/>
      <c r="AD165"/>
      <c r="AE165"/>
      <c r="AF165"/>
      <c r="AG165"/>
      <c r="AH165"/>
      <c r="AI165"/>
      <c r="AJ165"/>
      <c r="AK165"/>
      <c r="AL165"/>
    </row>
    <row r="166" spans="1:38" ht="15.75" customHeight="1">
      <c r="A166" s="98" t="s">
        <v>745</v>
      </c>
      <c r="B166" s="98" t="s">
        <v>750</v>
      </c>
      <c r="C166" s="98" t="s">
        <v>12</v>
      </c>
      <c r="E166"/>
      <c r="F166" t="s">
        <v>740</v>
      </c>
      <c r="G166"/>
      <c r="H166"/>
      <c r="I166"/>
      <c r="J166"/>
      <c r="K166"/>
      <c r="L166"/>
      <c r="M166"/>
      <c r="N166"/>
      <c r="O166"/>
      <c r="P166"/>
      <c r="Q166"/>
      <c r="R166"/>
      <c r="S166"/>
      <c r="T166"/>
      <c r="U166"/>
      <c r="V166"/>
      <c r="W166"/>
      <c r="X166"/>
      <c r="Y166"/>
      <c r="Z166"/>
      <c r="AA166"/>
      <c r="AB166"/>
      <c r="AC166"/>
      <c r="AD166"/>
      <c r="AE166"/>
      <c r="AF166"/>
      <c r="AG166"/>
      <c r="AH166"/>
      <c r="AI166"/>
      <c r="AJ166"/>
      <c r="AK166"/>
      <c r="AL166"/>
    </row>
    <row r="167" spans="1:38" ht="15.75" customHeight="1">
      <c r="A167" s="98" t="s">
        <v>745</v>
      </c>
      <c r="B167" s="98" t="s">
        <v>751</v>
      </c>
      <c r="C167" s="98" t="s">
        <v>12</v>
      </c>
      <c r="E167"/>
      <c r="F167" t="s">
        <v>741</v>
      </c>
      <c r="G167"/>
      <c r="H167"/>
      <c r="I167"/>
      <c r="J167"/>
      <c r="K167"/>
      <c r="L167"/>
      <c r="M167"/>
      <c r="N167"/>
      <c r="O167"/>
      <c r="P167"/>
      <c r="Q167"/>
      <c r="R167"/>
      <c r="S167"/>
      <c r="T167"/>
      <c r="U167"/>
      <c r="V167"/>
      <c r="W167"/>
      <c r="X167"/>
      <c r="Y167"/>
      <c r="Z167"/>
      <c r="AA167"/>
      <c r="AB167"/>
      <c r="AC167"/>
      <c r="AD167"/>
      <c r="AE167"/>
      <c r="AF167"/>
      <c r="AG167"/>
      <c r="AH167"/>
      <c r="AI167"/>
      <c r="AJ167"/>
      <c r="AK167"/>
      <c r="AL167"/>
    </row>
    <row r="168" spans="1:38" ht="15.75" customHeight="1">
      <c r="A168" s="98" t="s">
        <v>745</v>
      </c>
      <c r="B168" s="98" t="s">
        <v>752</v>
      </c>
      <c r="C168" s="98" t="s">
        <v>12</v>
      </c>
      <c r="E168" t="s">
        <v>1352</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row>
    <row r="169" spans="1:38" ht="15.75" customHeight="1">
      <c r="A169" s="98" t="s">
        <v>745</v>
      </c>
      <c r="B169" s="98" t="s">
        <v>753</v>
      </c>
      <c r="C169" s="98" t="s">
        <v>12</v>
      </c>
      <c r="E169" t="s">
        <v>742</v>
      </c>
      <c r="F169" t="s">
        <v>743</v>
      </c>
      <c r="G169"/>
      <c r="H169"/>
      <c r="I169"/>
      <c r="J169"/>
      <c r="K169"/>
      <c r="L169"/>
      <c r="M169"/>
      <c r="N169"/>
      <c r="O169"/>
      <c r="P169"/>
      <c r="Q169"/>
      <c r="R169"/>
      <c r="S169"/>
      <c r="T169"/>
      <c r="U169"/>
      <c r="V169"/>
      <c r="W169"/>
      <c r="X169"/>
      <c r="Y169"/>
      <c r="Z169"/>
      <c r="AA169"/>
      <c r="AB169"/>
      <c r="AC169"/>
      <c r="AD169"/>
      <c r="AE169"/>
      <c r="AF169"/>
      <c r="AG169"/>
      <c r="AH169"/>
      <c r="AI169"/>
      <c r="AJ169"/>
      <c r="AK169"/>
      <c r="AL169"/>
    </row>
    <row r="170" spans="1:38" ht="15.75" customHeight="1">
      <c r="A170" s="98" t="s">
        <v>745</v>
      </c>
      <c r="B170" s="98" t="s">
        <v>754</v>
      </c>
      <c r="C170" s="98" t="s">
        <v>12</v>
      </c>
      <c r="E170"/>
      <c r="F170" t="s">
        <v>744</v>
      </c>
      <c r="G170"/>
      <c r="H170"/>
      <c r="I170"/>
      <c r="J170"/>
      <c r="K170"/>
      <c r="L170"/>
      <c r="M170"/>
      <c r="N170"/>
      <c r="O170"/>
      <c r="P170"/>
      <c r="Q170"/>
      <c r="R170"/>
      <c r="S170"/>
      <c r="T170"/>
      <c r="U170"/>
      <c r="V170"/>
      <c r="W170"/>
      <c r="X170"/>
      <c r="Y170"/>
      <c r="Z170"/>
      <c r="AA170"/>
      <c r="AB170"/>
      <c r="AC170"/>
      <c r="AD170"/>
      <c r="AE170"/>
      <c r="AF170"/>
      <c r="AG170"/>
      <c r="AH170"/>
      <c r="AI170"/>
      <c r="AJ170"/>
      <c r="AK170"/>
      <c r="AL170"/>
    </row>
    <row r="171" spans="1:38" ht="15.75" customHeight="1">
      <c r="A171" s="98" t="s">
        <v>745</v>
      </c>
      <c r="B171" s="98" t="s">
        <v>755</v>
      </c>
      <c r="C171" s="98" t="s">
        <v>12</v>
      </c>
      <c r="E171" t="s">
        <v>1353</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row>
    <row r="172" spans="1:38" ht="15.75" customHeight="1">
      <c r="A172" s="98" t="s">
        <v>745</v>
      </c>
      <c r="B172" s="98" t="s">
        <v>756</v>
      </c>
      <c r="C172" s="98" t="s">
        <v>12</v>
      </c>
      <c r="E172" t="s">
        <v>745</v>
      </c>
      <c r="F172" t="s">
        <v>284</v>
      </c>
      <c r="G172"/>
      <c r="H172"/>
      <c r="I172"/>
      <c r="J172"/>
      <c r="K172"/>
      <c r="L172"/>
      <c r="M172"/>
      <c r="N172"/>
      <c r="O172"/>
      <c r="P172"/>
      <c r="Q172"/>
      <c r="R172"/>
      <c r="S172"/>
      <c r="T172"/>
      <c r="U172"/>
      <c r="V172"/>
      <c r="W172"/>
      <c r="X172"/>
      <c r="Y172"/>
      <c r="Z172"/>
      <c r="AA172"/>
      <c r="AB172"/>
      <c r="AC172"/>
      <c r="AD172"/>
      <c r="AE172"/>
      <c r="AF172"/>
      <c r="AG172"/>
      <c r="AH172"/>
      <c r="AI172"/>
      <c r="AJ172"/>
      <c r="AK172"/>
      <c r="AL172"/>
    </row>
    <row r="173" spans="1:38" ht="15.75" customHeight="1">
      <c r="A173" s="98" t="s">
        <v>745</v>
      </c>
      <c r="B173" s="98" t="s">
        <v>757</v>
      </c>
      <c r="C173" s="98" t="s">
        <v>12</v>
      </c>
      <c r="E173"/>
      <c r="F173" t="s">
        <v>746</v>
      </c>
      <c r="G173"/>
      <c r="H173"/>
      <c r="I173"/>
      <c r="J173"/>
      <c r="K173"/>
      <c r="L173"/>
      <c r="M173"/>
      <c r="N173"/>
      <c r="O173"/>
      <c r="P173"/>
      <c r="Q173"/>
      <c r="R173"/>
      <c r="S173"/>
      <c r="T173"/>
      <c r="U173"/>
      <c r="V173"/>
      <c r="W173"/>
      <c r="X173"/>
      <c r="Y173"/>
      <c r="Z173"/>
      <c r="AA173"/>
      <c r="AB173"/>
      <c r="AC173"/>
      <c r="AD173"/>
      <c r="AE173"/>
      <c r="AF173"/>
      <c r="AG173"/>
      <c r="AH173"/>
      <c r="AI173"/>
      <c r="AJ173"/>
      <c r="AK173"/>
      <c r="AL173"/>
    </row>
    <row r="174" spans="1:38" ht="15.75" customHeight="1">
      <c r="A174" s="98" t="s">
        <v>745</v>
      </c>
      <c r="B174" s="98" t="s">
        <v>758</v>
      </c>
      <c r="C174" s="98" t="s">
        <v>12</v>
      </c>
      <c r="E174"/>
      <c r="F174" t="s">
        <v>747</v>
      </c>
      <c r="G174"/>
      <c r="H174"/>
      <c r="I174"/>
      <c r="J174"/>
      <c r="K174"/>
      <c r="L174"/>
      <c r="M174"/>
      <c r="N174"/>
      <c r="O174"/>
      <c r="P174"/>
      <c r="Q174"/>
      <c r="R174"/>
      <c r="S174"/>
      <c r="T174"/>
      <c r="U174"/>
      <c r="V174"/>
      <c r="W174"/>
      <c r="X174"/>
      <c r="Y174"/>
      <c r="Z174"/>
      <c r="AA174"/>
      <c r="AB174"/>
      <c r="AC174"/>
      <c r="AD174"/>
      <c r="AE174"/>
      <c r="AF174"/>
      <c r="AG174"/>
      <c r="AH174"/>
      <c r="AI174"/>
      <c r="AJ174"/>
      <c r="AK174"/>
      <c r="AL174"/>
    </row>
    <row r="175" spans="1:38" ht="15.75" customHeight="1">
      <c r="A175" s="98" t="s">
        <v>745</v>
      </c>
      <c r="B175" s="98" t="s">
        <v>759</v>
      </c>
      <c r="C175" s="98" t="s">
        <v>12</v>
      </c>
      <c r="E175"/>
      <c r="F175" t="s">
        <v>748</v>
      </c>
      <c r="G175"/>
      <c r="H175"/>
      <c r="I175"/>
      <c r="J175"/>
      <c r="K175"/>
      <c r="L175"/>
      <c r="M175"/>
      <c r="N175"/>
      <c r="O175"/>
      <c r="P175"/>
      <c r="Q175"/>
      <c r="R175"/>
      <c r="S175"/>
      <c r="T175"/>
      <c r="U175"/>
      <c r="V175"/>
      <c r="W175"/>
      <c r="X175"/>
      <c r="Y175"/>
      <c r="Z175"/>
      <c r="AA175"/>
      <c r="AB175"/>
      <c r="AC175"/>
      <c r="AD175"/>
      <c r="AE175"/>
      <c r="AF175"/>
      <c r="AG175"/>
      <c r="AH175"/>
      <c r="AI175"/>
      <c r="AJ175"/>
      <c r="AK175"/>
      <c r="AL175"/>
    </row>
    <row r="176" spans="1:38" ht="15.75" customHeight="1">
      <c r="A176" s="98" t="s">
        <v>745</v>
      </c>
      <c r="B176" s="98" t="s">
        <v>760</v>
      </c>
      <c r="C176" s="98" t="s">
        <v>12</v>
      </c>
      <c r="E176"/>
      <c r="F176" t="s">
        <v>749</v>
      </c>
      <c r="G176"/>
      <c r="H176"/>
      <c r="I176"/>
      <c r="J176"/>
      <c r="K176"/>
      <c r="L176"/>
      <c r="M176"/>
      <c r="N176"/>
      <c r="O176"/>
      <c r="P176"/>
      <c r="Q176"/>
      <c r="R176"/>
      <c r="S176"/>
      <c r="T176"/>
      <c r="U176"/>
      <c r="V176"/>
      <c r="W176"/>
      <c r="X176"/>
      <c r="Y176"/>
      <c r="Z176"/>
      <c r="AA176"/>
      <c r="AB176"/>
      <c r="AC176"/>
      <c r="AD176"/>
      <c r="AE176"/>
      <c r="AF176"/>
      <c r="AG176"/>
      <c r="AH176"/>
      <c r="AI176"/>
      <c r="AJ176"/>
      <c r="AK176"/>
      <c r="AL176"/>
    </row>
    <row r="177" spans="1:38" ht="15.75" customHeight="1">
      <c r="A177" s="98" t="s">
        <v>745</v>
      </c>
      <c r="B177" s="98" t="s">
        <v>761</v>
      </c>
      <c r="C177" s="98" t="s">
        <v>12</v>
      </c>
      <c r="E177"/>
      <c r="F177" t="s">
        <v>750</v>
      </c>
      <c r="G177"/>
      <c r="H177"/>
      <c r="I177"/>
      <c r="J177"/>
      <c r="K177"/>
      <c r="L177"/>
      <c r="M177"/>
      <c r="N177"/>
      <c r="O177"/>
      <c r="P177"/>
      <c r="Q177"/>
      <c r="R177"/>
      <c r="S177"/>
      <c r="T177"/>
      <c r="U177"/>
      <c r="V177"/>
      <c r="W177"/>
      <c r="X177"/>
      <c r="Y177"/>
      <c r="Z177"/>
      <c r="AA177"/>
      <c r="AB177"/>
      <c r="AC177"/>
      <c r="AD177"/>
      <c r="AE177"/>
      <c r="AF177"/>
      <c r="AG177"/>
      <c r="AH177"/>
      <c r="AI177"/>
      <c r="AJ177"/>
      <c r="AK177"/>
      <c r="AL177"/>
    </row>
    <row r="178" spans="1:38" ht="15.75" customHeight="1">
      <c r="A178" s="98" t="s">
        <v>745</v>
      </c>
      <c r="B178" s="98" t="s">
        <v>762</v>
      </c>
      <c r="C178" s="98" t="s">
        <v>12</v>
      </c>
      <c r="E178"/>
      <c r="F178" t="s">
        <v>751</v>
      </c>
      <c r="G178"/>
      <c r="H178"/>
      <c r="I178"/>
      <c r="J178"/>
      <c r="K178"/>
      <c r="L178"/>
      <c r="M178"/>
      <c r="N178"/>
      <c r="O178"/>
      <c r="P178"/>
      <c r="Q178"/>
      <c r="R178"/>
      <c r="S178"/>
      <c r="T178"/>
      <c r="U178"/>
      <c r="V178"/>
      <c r="W178"/>
      <c r="X178"/>
      <c r="Y178"/>
      <c r="Z178"/>
      <c r="AA178"/>
      <c r="AB178"/>
      <c r="AC178"/>
      <c r="AD178"/>
      <c r="AE178"/>
      <c r="AF178"/>
      <c r="AG178"/>
      <c r="AH178"/>
      <c r="AI178"/>
      <c r="AJ178"/>
      <c r="AK178"/>
      <c r="AL178"/>
    </row>
    <row r="179" spans="1:38" ht="15.75" customHeight="1">
      <c r="A179" s="98" t="s">
        <v>745</v>
      </c>
      <c r="B179" s="98" t="s">
        <v>763</v>
      </c>
      <c r="C179" s="98" t="s">
        <v>12</v>
      </c>
      <c r="E179"/>
      <c r="F179" t="s">
        <v>752</v>
      </c>
      <c r="G179"/>
      <c r="H179"/>
      <c r="I179"/>
      <c r="J179"/>
      <c r="K179"/>
      <c r="L179"/>
      <c r="M179"/>
      <c r="N179"/>
      <c r="O179"/>
      <c r="P179"/>
      <c r="Q179"/>
      <c r="R179"/>
      <c r="S179"/>
      <c r="T179"/>
      <c r="U179"/>
      <c r="V179"/>
      <c r="W179"/>
      <c r="X179"/>
      <c r="Y179"/>
      <c r="Z179"/>
      <c r="AA179"/>
      <c r="AB179"/>
      <c r="AC179"/>
      <c r="AD179"/>
      <c r="AE179"/>
      <c r="AF179"/>
      <c r="AG179"/>
      <c r="AH179"/>
      <c r="AI179"/>
      <c r="AJ179"/>
      <c r="AK179"/>
      <c r="AL179"/>
    </row>
    <row r="180" spans="1:38" ht="15.75" customHeight="1">
      <c r="A180" s="98" t="s">
        <v>745</v>
      </c>
      <c r="B180" s="98" t="s">
        <v>764</v>
      </c>
      <c r="C180" s="98" t="s">
        <v>12</v>
      </c>
      <c r="E180"/>
      <c r="F180" t="s">
        <v>753</v>
      </c>
      <c r="G180"/>
      <c r="H180"/>
      <c r="I180"/>
      <c r="J180"/>
      <c r="K180"/>
      <c r="L180"/>
      <c r="M180"/>
      <c r="N180"/>
      <c r="O180"/>
      <c r="P180"/>
      <c r="Q180"/>
      <c r="R180"/>
      <c r="S180"/>
      <c r="T180"/>
      <c r="U180"/>
      <c r="V180"/>
      <c r="W180"/>
      <c r="X180"/>
      <c r="Y180"/>
      <c r="Z180"/>
      <c r="AA180"/>
      <c r="AB180"/>
      <c r="AC180"/>
      <c r="AD180"/>
      <c r="AE180"/>
      <c r="AF180"/>
      <c r="AG180"/>
      <c r="AH180"/>
      <c r="AI180"/>
      <c r="AJ180"/>
      <c r="AK180"/>
      <c r="AL180"/>
    </row>
    <row r="181" spans="1:38" ht="15.75" customHeight="1">
      <c r="A181" s="98" t="s">
        <v>745</v>
      </c>
      <c r="B181" s="98" t="s">
        <v>765</v>
      </c>
      <c r="C181" s="98" t="s">
        <v>12</v>
      </c>
      <c r="E181"/>
      <c r="F181" t="s">
        <v>754</v>
      </c>
      <c r="G181"/>
      <c r="H181"/>
      <c r="I181"/>
      <c r="J181"/>
      <c r="K181"/>
      <c r="L181"/>
      <c r="M181"/>
      <c r="N181"/>
      <c r="O181"/>
      <c r="P181"/>
      <c r="Q181"/>
      <c r="R181"/>
      <c r="S181"/>
      <c r="T181"/>
      <c r="U181"/>
      <c r="V181"/>
      <c r="W181"/>
      <c r="X181"/>
      <c r="Y181"/>
      <c r="Z181"/>
      <c r="AA181"/>
      <c r="AB181"/>
      <c r="AC181"/>
      <c r="AD181"/>
      <c r="AE181"/>
      <c r="AF181"/>
      <c r="AG181"/>
      <c r="AH181"/>
      <c r="AI181"/>
      <c r="AJ181"/>
      <c r="AK181"/>
      <c r="AL181"/>
    </row>
    <row r="182" spans="1:38" ht="15.75" customHeight="1">
      <c r="A182" s="98" t="s">
        <v>745</v>
      </c>
      <c r="B182" s="98" t="s">
        <v>766</v>
      </c>
      <c r="C182" s="98" t="s">
        <v>12</v>
      </c>
      <c r="E182"/>
      <c r="F182" t="s">
        <v>755</v>
      </c>
      <c r="G182"/>
      <c r="H182"/>
      <c r="I182"/>
      <c r="J182"/>
      <c r="K182"/>
      <c r="L182"/>
      <c r="M182"/>
      <c r="N182"/>
      <c r="O182"/>
      <c r="P182"/>
      <c r="Q182"/>
      <c r="R182"/>
      <c r="S182"/>
      <c r="T182"/>
      <c r="U182"/>
      <c r="V182"/>
      <c r="W182"/>
      <c r="X182"/>
      <c r="Y182"/>
      <c r="Z182"/>
      <c r="AA182"/>
      <c r="AB182"/>
      <c r="AC182"/>
      <c r="AD182"/>
      <c r="AE182"/>
      <c r="AF182"/>
      <c r="AG182"/>
      <c r="AH182"/>
      <c r="AI182"/>
      <c r="AJ182"/>
      <c r="AK182"/>
      <c r="AL182"/>
    </row>
    <row r="183" spans="1:38" ht="15.75" customHeight="1">
      <c r="A183" s="98" t="s">
        <v>745</v>
      </c>
      <c r="B183" s="98" t="s">
        <v>767</v>
      </c>
      <c r="C183" s="98" t="s">
        <v>12</v>
      </c>
      <c r="E183"/>
      <c r="F183" t="s">
        <v>756</v>
      </c>
      <c r="G183"/>
      <c r="H183"/>
      <c r="I183"/>
      <c r="J183"/>
      <c r="K183"/>
      <c r="L183"/>
      <c r="M183"/>
      <c r="N183"/>
      <c r="O183"/>
      <c r="P183"/>
      <c r="Q183"/>
      <c r="R183"/>
      <c r="S183"/>
      <c r="T183"/>
      <c r="U183"/>
      <c r="V183"/>
      <c r="W183"/>
      <c r="X183"/>
      <c r="Y183"/>
      <c r="Z183"/>
      <c r="AA183"/>
      <c r="AB183"/>
      <c r="AC183"/>
      <c r="AD183"/>
      <c r="AE183"/>
      <c r="AF183"/>
      <c r="AG183"/>
      <c r="AH183"/>
      <c r="AI183"/>
      <c r="AJ183"/>
      <c r="AK183"/>
      <c r="AL183"/>
    </row>
    <row r="184" spans="1:38" ht="15.75" customHeight="1">
      <c r="A184" s="98" t="s">
        <v>745</v>
      </c>
      <c r="B184" s="98" t="s">
        <v>768</v>
      </c>
      <c r="C184" s="98" t="s">
        <v>12</v>
      </c>
      <c r="E184"/>
      <c r="F184" t="s">
        <v>757</v>
      </c>
      <c r="G184"/>
      <c r="H184"/>
      <c r="I184"/>
      <c r="J184"/>
      <c r="K184"/>
      <c r="L184"/>
      <c r="M184"/>
      <c r="N184"/>
      <c r="O184"/>
      <c r="P184"/>
      <c r="Q184"/>
      <c r="R184"/>
      <c r="S184"/>
      <c r="T184"/>
      <c r="U184"/>
      <c r="V184"/>
      <c r="W184"/>
      <c r="X184"/>
      <c r="Y184"/>
      <c r="Z184"/>
      <c r="AA184"/>
      <c r="AB184"/>
      <c r="AC184"/>
      <c r="AD184"/>
      <c r="AE184"/>
      <c r="AF184"/>
      <c r="AG184"/>
      <c r="AH184"/>
      <c r="AI184"/>
      <c r="AJ184"/>
      <c r="AK184"/>
      <c r="AL184"/>
    </row>
    <row r="185" spans="1:38" ht="15.75" customHeight="1">
      <c r="A185" s="98" t="s">
        <v>745</v>
      </c>
      <c r="B185" s="98" t="s">
        <v>769</v>
      </c>
      <c r="C185" s="98" t="s">
        <v>12</v>
      </c>
      <c r="E185"/>
      <c r="F185" t="s">
        <v>758</v>
      </c>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1:38" ht="15.75" customHeight="1">
      <c r="A186" s="98" t="s">
        <v>745</v>
      </c>
      <c r="B186" s="98" t="s">
        <v>770</v>
      </c>
      <c r="C186" s="98" t="s">
        <v>12</v>
      </c>
      <c r="E186"/>
      <c r="F186" t="s">
        <v>759</v>
      </c>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1:38" ht="15.75" customHeight="1">
      <c r="A187" s="98" t="s">
        <v>745</v>
      </c>
      <c r="B187" s="98" t="s">
        <v>771</v>
      </c>
      <c r="C187" s="98" t="s">
        <v>12</v>
      </c>
      <c r="E187"/>
      <c r="F187" t="s">
        <v>760</v>
      </c>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1:38" ht="15.75" customHeight="1">
      <c r="A188" s="98" t="s">
        <v>745</v>
      </c>
      <c r="B188" s="98" t="s">
        <v>772</v>
      </c>
      <c r="C188" s="98" t="s">
        <v>12</v>
      </c>
      <c r="E188"/>
      <c r="F188" t="s">
        <v>761</v>
      </c>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38" ht="15.75" customHeight="1">
      <c r="A189" s="98" t="s">
        <v>745</v>
      </c>
      <c r="B189" s="98" t="s">
        <v>773</v>
      </c>
      <c r="C189" s="98" t="s">
        <v>12</v>
      </c>
      <c r="E189"/>
      <c r="F189" t="s">
        <v>762</v>
      </c>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1:38" ht="15.75" customHeight="1">
      <c r="A190" s="98" t="s">
        <v>745</v>
      </c>
      <c r="B190" s="98" t="s">
        <v>774</v>
      </c>
      <c r="C190" s="98" t="s">
        <v>12</v>
      </c>
      <c r="E190"/>
      <c r="F190" t="s">
        <v>763</v>
      </c>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1:38" ht="15.75" customHeight="1">
      <c r="A191" s="98" t="s">
        <v>745</v>
      </c>
      <c r="B191" s="98" t="s">
        <v>775</v>
      </c>
      <c r="C191" s="98" t="s">
        <v>12</v>
      </c>
      <c r="E191"/>
      <c r="F191" t="s">
        <v>764</v>
      </c>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1:38" ht="15.75" customHeight="1">
      <c r="A192" s="98" t="s">
        <v>745</v>
      </c>
      <c r="B192" s="98" t="s">
        <v>776</v>
      </c>
      <c r="C192" s="98" t="s">
        <v>12</v>
      </c>
      <c r="E192"/>
      <c r="F192" t="s">
        <v>765</v>
      </c>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1:38" ht="15.75" customHeight="1">
      <c r="A193" s="98" t="s">
        <v>745</v>
      </c>
      <c r="B193" s="98" t="s">
        <v>777</v>
      </c>
      <c r="C193" s="98" t="s">
        <v>12</v>
      </c>
      <c r="E193"/>
      <c r="F193" t="s">
        <v>766</v>
      </c>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1:38" ht="15.75" customHeight="1">
      <c r="A194" s="98" t="s">
        <v>778</v>
      </c>
      <c r="B194" s="98" t="s">
        <v>779</v>
      </c>
      <c r="C194" s="98" t="s">
        <v>12</v>
      </c>
      <c r="E194"/>
      <c r="F194" t="s">
        <v>767</v>
      </c>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1:38" ht="15.75" customHeight="1">
      <c r="A195" s="98" t="s">
        <v>778</v>
      </c>
      <c r="B195" s="98" t="s">
        <v>780</v>
      </c>
      <c r="C195" s="98" t="s">
        <v>12</v>
      </c>
      <c r="E195"/>
      <c r="F195" t="s">
        <v>768</v>
      </c>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1:38" ht="15.75" customHeight="1">
      <c r="A196" s="98" t="s">
        <v>778</v>
      </c>
      <c r="B196" s="98" t="s">
        <v>781</v>
      </c>
      <c r="C196" s="98" t="s">
        <v>12</v>
      </c>
      <c r="E196"/>
      <c r="F196" t="s">
        <v>769</v>
      </c>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1:38" ht="15.75" customHeight="1">
      <c r="A197" s="98" t="s">
        <v>778</v>
      </c>
      <c r="B197" s="98" t="s">
        <v>782</v>
      </c>
      <c r="C197" s="98" t="s">
        <v>12</v>
      </c>
      <c r="E197"/>
      <c r="F197" t="s">
        <v>770</v>
      </c>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1:38" ht="15.75" customHeight="1">
      <c r="A198" s="98" t="s">
        <v>778</v>
      </c>
      <c r="B198" s="98" t="s">
        <v>783</v>
      </c>
      <c r="C198" s="98" t="s">
        <v>12</v>
      </c>
      <c r="E198"/>
      <c r="F198" t="s">
        <v>771</v>
      </c>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1:38" ht="15.75" customHeight="1">
      <c r="A199" s="98" t="s">
        <v>778</v>
      </c>
      <c r="B199" s="98" t="s">
        <v>784</v>
      </c>
      <c r="C199" s="98" t="s">
        <v>12</v>
      </c>
      <c r="E199"/>
      <c r="F199" t="s">
        <v>772</v>
      </c>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1:38" ht="15.75" customHeight="1">
      <c r="A200" s="98" t="s">
        <v>778</v>
      </c>
      <c r="B200" s="98" t="s">
        <v>785</v>
      </c>
      <c r="C200" s="98" t="s">
        <v>12</v>
      </c>
      <c r="E200"/>
      <c r="F200" t="s">
        <v>773</v>
      </c>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1:38" ht="15.75" customHeight="1">
      <c r="A201" s="98" t="s">
        <v>778</v>
      </c>
      <c r="B201" s="98" t="s">
        <v>786</v>
      </c>
      <c r="C201" s="98" t="s">
        <v>12</v>
      </c>
      <c r="E201"/>
      <c r="F201" t="s">
        <v>774</v>
      </c>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1:38" ht="15.75" customHeight="1">
      <c r="A202" s="98" t="s">
        <v>778</v>
      </c>
      <c r="B202" s="98" t="s">
        <v>787</v>
      </c>
      <c r="C202" s="98" t="s">
        <v>12</v>
      </c>
      <c r="E202"/>
      <c r="F202" t="s">
        <v>775</v>
      </c>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1:38" ht="15.75" customHeight="1">
      <c r="A203" s="98" t="s">
        <v>778</v>
      </c>
      <c r="B203" s="98" t="s">
        <v>788</v>
      </c>
      <c r="C203" s="98" t="s">
        <v>12</v>
      </c>
      <c r="E203"/>
      <c r="F203" t="s">
        <v>776</v>
      </c>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1:38" ht="15.75" customHeight="1">
      <c r="A204" s="98" t="s">
        <v>778</v>
      </c>
      <c r="B204" s="98" t="s">
        <v>789</v>
      </c>
      <c r="C204" s="98" t="s">
        <v>12</v>
      </c>
      <c r="E204"/>
      <c r="F204" t="s">
        <v>777</v>
      </c>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1:38" ht="15.75" customHeight="1">
      <c r="A205" s="98" t="s">
        <v>778</v>
      </c>
      <c r="B205" s="98" t="s">
        <v>790</v>
      </c>
      <c r="C205" s="98" t="s">
        <v>12</v>
      </c>
      <c r="E205" t="s">
        <v>1354</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1:38" ht="15.75" customHeight="1">
      <c r="A206" s="98" t="s">
        <v>778</v>
      </c>
      <c r="B206" s="98" t="s">
        <v>791</v>
      </c>
      <c r="C206" s="98" t="s">
        <v>12</v>
      </c>
      <c r="E206" t="s">
        <v>778</v>
      </c>
      <c r="F206" t="s">
        <v>779</v>
      </c>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1:38" ht="15.75" customHeight="1">
      <c r="A207" s="98" t="s">
        <v>778</v>
      </c>
      <c r="B207" s="98" t="s">
        <v>792</v>
      </c>
      <c r="C207" s="98" t="s">
        <v>12</v>
      </c>
      <c r="E207"/>
      <c r="F207" t="s">
        <v>780</v>
      </c>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1:38" ht="15.75" customHeight="1">
      <c r="A208" s="98" t="s">
        <v>778</v>
      </c>
      <c r="B208" s="98" t="s">
        <v>793</v>
      </c>
      <c r="C208" s="98" t="s">
        <v>12</v>
      </c>
      <c r="E208"/>
      <c r="F208" t="s">
        <v>781</v>
      </c>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1:38" ht="15.75" customHeight="1">
      <c r="A209" s="98" t="s">
        <v>778</v>
      </c>
      <c r="B209" s="98" t="s">
        <v>794</v>
      </c>
      <c r="C209" s="98" t="s">
        <v>12</v>
      </c>
      <c r="E209"/>
      <c r="F209" t="s">
        <v>782</v>
      </c>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1:38" ht="15.75" customHeight="1">
      <c r="A210" s="98" t="s">
        <v>778</v>
      </c>
      <c r="B210" s="98" t="s">
        <v>795</v>
      </c>
      <c r="C210" s="98" t="s">
        <v>12</v>
      </c>
      <c r="E210"/>
      <c r="F210" t="s">
        <v>783</v>
      </c>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1:38" ht="15.75" customHeight="1">
      <c r="A211" s="98" t="s">
        <v>778</v>
      </c>
      <c r="B211" s="98" t="s">
        <v>796</v>
      </c>
      <c r="C211" s="98" t="s">
        <v>12</v>
      </c>
      <c r="E211"/>
      <c r="F211" t="s">
        <v>784</v>
      </c>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1:38" ht="15.75" customHeight="1">
      <c r="A212" s="98" t="s">
        <v>778</v>
      </c>
      <c r="B212" s="98" t="s">
        <v>797</v>
      </c>
      <c r="C212" s="98" t="s">
        <v>12</v>
      </c>
      <c r="E212"/>
      <c r="F212" t="s">
        <v>785</v>
      </c>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1:38" ht="15.75" customHeight="1">
      <c r="A213" s="98" t="s">
        <v>778</v>
      </c>
      <c r="B213" s="98" t="s">
        <v>798</v>
      </c>
      <c r="C213" s="98" t="s">
        <v>12</v>
      </c>
      <c r="E213"/>
      <c r="F213" t="s">
        <v>786</v>
      </c>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1:38" ht="15.75" customHeight="1">
      <c r="A214" s="98" t="s">
        <v>778</v>
      </c>
      <c r="B214" s="98" t="s">
        <v>799</v>
      </c>
      <c r="C214" s="98" t="s">
        <v>12</v>
      </c>
      <c r="E214"/>
      <c r="F214" t="s">
        <v>787</v>
      </c>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1:38" ht="15.75" customHeight="1">
      <c r="A215" s="98" t="s">
        <v>778</v>
      </c>
      <c r="B215" s="98" t="s">
        <v>800</v>
      </c>
      <c r="C215" s="98" t="s">
        <v>12</v>
      </c>
      <c r="E215"/>
      <c r="F215" t="s">
        <v>788</v>
      </c>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1:38" ht="15.75" customHeight="1">
      <c r="A216" s="98" t="s">
        <v>801</v>
      </c>
      <c r="B216" s="98" t="s">
        <v>704</v>
      </c>
      <c r="C216" s="98" t="s">
        <v>12</v>
      </c>
      <c r="E216"/>
      <c r="F216" t="s">
        <v>789</v>
      </c>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1:38" ht="15.75" customHeight="1">
      <c r="A217" s="98" t="s">
        <v>801</v>
      </c>
      <c r="B217" s="98" t="s">
        <v>802</v>
      </c>
      <c r="C217" s="98" t="s">
        <v>12</v>
      </c>
      <c r="E217"/>
      <c r="F217" t="s">
        <v>790</v>
      </c>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1:38" ht="15.75" customHeight="1">
      <c r="A218" s="98" t="s">
        <v>801</v>
      </c>
      <c r="B218" s="98" t="s">
        <v>803</v>
      </c>
      <c r="C218" s="98" t="s">
        <v>12</v>
      </c>
      <c r="E218"/>
      <c r="F218" t="s">
        <v>791</v>
      </c>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1:38" ht="15.75" customHeight="1">
      <c r="A219" s="98" t="s">
        <v>801</v>
      </c>
      <c r="B219" s="98" t="s">
        <v>804</v>
      </c>
      <c r="C219" s="98" t="s">
        <v>12</v>
      </c>
      <c r="E219"/>
      <c r="F219" t="s">
        <v>792</v>
      </c>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1:38" ht="15.75" customHeight="1">
      <c r="A220" s="98" t="s">
        <v>801</v>
      </c>
      <c r="B220" s="98" t="s">
        <v>805</v>
      </c>
      <c r="C220" s="98" t="s">
        <v>12</v>
      </c>
      <c r="E220"/>
      <c r="F220" t="s">
        <v>793</v>
      </c>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1:38" ht="15.75" customHeight="1">
      <c r="A221" s="98" t="s">
        <v>801</v>
      </c>
      <c r="B221" s="98" t="s">
        <v>806</v>
      </c>
      <c r="C221" s="98" t="s">
        <v>12</v>
      </c>
      <c r="E221"/>
      <c r="F221" t="s">
        <v>794</v>
      </c>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1:38" ht="15.75" customHeight="1">
      <c r="A222" s="98" t="s">
        <v>801</v>
      </c>
      <c r="B222" s="98" t="s">
        <v>807</v>
      </c>
      <c r="C222" s="98" t="s">
        <v>12</v>
      </c>
      <c r="E222"/>
      <c r="F222" t="s">
        <v>795</v>
      </c>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1:38" ht="15.75" customHeight="1">
      <c r="A223" s="98" t="s">
        <v>801</v>
      </c>
      <c r="B223" s="98" t="s">
        <v>808</v>
      </c>
      <c r="C223" s="98" t="s">
        <v>12</v>
      </c>
      <c r="E223"/>
      <c r="F223" t="s">
        <v>796</v>
      </c>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1:38" ht="15.75" customHeight="1">
      <c r="A224" s="98" t="s">
        <v>801</v>
      </c>
      <c r="B224" s="98" t="s">
        <v>809</v>
      </c>
      <c r="C224" s="98" t="s">
        <v>12</v>
      </c>
      <c r="E224"/>
      <c r="F224" t="s">
        <v>797</v>
      </c>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1:38" ht="15.75" customHeight="1">
      <c r="A225" s="98" t="s">
        <v>801</v>
      </c>
      <c r="B225" s="98" t="s">
        <v>810</v>
      </c>
      <c r="C225" s="98" t="s">
        <v>12</v>
      </c>
      <c r="E225"/>
      <c r="F225" t="s">
        <v>798</v>
      </c>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38" ht="15.75" customHeight="1">
      <c r="A226" s="98" t="s">
        <v>801</v>
      </c>
      <c r="B226" s="98" t="s">
        <v>811</v>
      </c>
      <c r="C226" s="98" t="s">
        <v>12</v>
      </c>
      <c r="E226"/>
      <c r="F226" t="s">
        <v>799</v>
      </c>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38" ht="15.75" customHeight="1">
      <c r="A227" s="98" t="s">
        <v>801</v>
      </c>
      <c r="B227" s="98" t="s">
        <v>812</v>
      </c>
      <c r="C227" s="98" t="s">
        <v>12</v>
      </c>
      <c r="E227"/>
      <c r="F227" t="s">
        <v>800</v>
      </c>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38" ht="15.75" customHeight="1">
      <c r="A228" s="98" t="s">
        <v>813</v>
      </c>
      <c r="B228" s="98" t="s">
        <v>814</v>
      </c>
      <c r="C228" s="98" t="s">
        <v>580</v>
      </c>
      <c r="E228" t="s">
        <v>1355</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38" ht="15.75" customHeight="1">
      <c r="A229" s="98" t="s">
        <v>813</v>
      </c>
      <c r="B229" s="98" t="s">
        <v>815</v>
      </c>
      <c r="C229" s="98" t="s">
        <v>580</v>
      </c>
      <c r="E229" t="s">
        <v>801</v>
      </c>
      <c r="F229" t="s">
        <v>704</v>
      </c>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1:38" ht="15.75" customHeight="1">
      <c r="A230" s="98" t="s">
        <v>813</v>
      </c>
      <c r="B230" s="98" t="s">
        <v>816</v>
      </c>
      <c r="C230" s="98" t="s">
        <v>580</v>
      </c>
      <c r="E230"/>
      <c r="F230" t="s">
        <v>802</v>
      </c>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1:38" ht="15.75" customHeight="1">
      <c r="A231" s="98" t="s">
        <v>813</v>
      </c>
      <c r="B231" s="98" t="s">
        <v>817</v>
      </c>
      <c r="C231" s="98" t="s">
        <v>580</v>
      </c>
      <c r="E231"/>
      <c r="F231" t="s">
        <v>803</v>
      </c>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1:38" ht="15.75" customHeight="1">
      <c r="A232" s="98" t="s">
        <v>813</v>
      </c>
      <c r="B232" s="98" t="s">
        <v>818</v>
      </c>
      <c r="C232" s="98" t="s">
        <v>580</v>
      </c>
      <c r="E232"/>
      <c r="F232" t="s">
        <v>804</v>
      </c>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1:38" ht="15.75" customHeight="1">
      <c r="A233" s="98" t="s">
        <v>813</v>
      </c>
      <c r="B233" s="98" t="s">
        <v>819</v>
      </c>
      <c r="C233" s="98" t="s">
        <v>580</v>
      </c>
      <c r="E233"/>
      <c r="F233" t="s">
        <v>805</v>
      </c>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1:38" ht="15.75" customHeight="1">
      <c r="A234" s="98" t="s">
        <v>813</v>
      </c>
      <c r="B234" s="98" t="s">
        <v>820</v>
      </c>
      <c r="C234" s="98" t="s">
        <v>580</v>
      </c>
      <c r="E234"/>
      <c r="F234" t="s">
        <v>806</v>
      </c>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1:38" ht="15.75" customHeight="1">
      <c r="A235" s="98" t="s">
        <v>813</v>
      </c>
      <c r="B235" s="98" t="s">
        <v>821</v>
      </c>
      <c r="C235" s="98" t="s">
        <v>580</v>
      </c>
      <c r="E235"/>
      <c r="F235" t="s">
        <v>807</v>
      </c>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1:38" ht="15.75" customHeight="1">
      <c r="A236" s="98" t="s">
        <v>813</v>
      </c>
      <c r="B236" s="98" t="s">
        <v>822</v>
      </c>
      <c r="C236" s="98" t="s">
        <v>580</v>
      </c>
      <c r="E236"/>
      <c r="F236" t="s">
        <v>808</v>
      </c>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1:38" ht="15.75" customHeight="1">
      <c r="A237" s="98" t="s">
        <v>813</v>
      </c>
      <c r="B237" s="98" t="s">
        <v>823</v>
      </c>
      <c r="C237" s="98" t="s">
        <v>580</v>
      </c>
      <c r="E237"/>
      <c r="F237" t="s">
        <v>809</v>
      </c>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1:38" ht="15.75" customHeight="1">
      <c r="A238" s="98" t="s">
        <v>813</v>
      </c>
      <c r="B238" s="98" t="s">
        <v>824</v>
      </c>
      <c r="C238" s="98" t="s">
        <v>580</v>
      </c>
      <c r="E238"/>
      <c r="F238" t="s">
        <v>810</v>
      </c>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1:38" ht="15.75" customHeight="1">
      <c r="A239" s="98" t="s">
        <v>813</v>
      </c>
      <c r="B239" s="98" t="s">
        <v>825</v>
      </c>
      <c r="C239" s="98" t="s">
        <v>580</v>
      </c>
      <c r="E239"/>
      <c r="F239" t="s">
        <v>811</v>
      </c>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1:38" ht="15.75" customHeight="1">
      <c r="A240" s="98" t="s">
        <v>813</v>
      </c>
      <c r="B240" s="98" t="s">
        <v>826</v>
      </c>
      <c r="C240" s="98" t="s">
        <v>580</v>
      </c>
      <c r="E240"/>
      <c r="F240" t="s">
        <v>812</v>
      </c>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1:38" ht="15.75" customHeight="1">
      <c r="A241" s="98" t="s">
        <v>813</v>
      </c>
      <c r="B241" s="98" t="s">
        <v>827</v>
      </c>
      <c r="C241" s="98" t="s">
        <v>580</v>
      </c>
      <c r="E241" t="s">
        <v>1356</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customHeight="1">
      <c r="A242" s="98" t="s">
        <v>813</v>
      </c>
      <c r="B242" s="98" t="s">
        <v>828</v>
      </c>
      <c r="C242" s="98" t="s">
        <v>580</v>
      </c>
      <c r="E242" t="s">
        <v>813</v>
      </c>
      <c r="F242" t="s">
        <v>814</v>
      </c>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customHeight="1">
      <c r="A243" s="98" t="s">
        <v>813</v>
      </c>
      <c r="B243" s="98" t="s">
        <v>829</v>
      </c>
      <c r="C243" s="98" t="s">
        <v>580</v>
      </c>
      <c r="E243"/>
      <c r="F243" t="s">
        <v>815</v>
      </c>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customHeight="1">
      <c r="A244" s="98" t="s">
        <v>813</v>
      </c>
      <c r="B244" s="98" t="s">
        <v>830</v>
      </c>
      <c r="C244" s="98" t="s">
        <v>580</v>
      </c>
      <c r="E244"/>
      <c r="F244" t="s">
        <v>816</v>
      </c>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customHeight="1">
      <c r="A245" s="98" t="s">
        <v>813</v>
      </c>
      <c r="B245" s="98" t="s">
        <v>831</v>
      </c>
      <c r="C245" s="98" t="s">
        <v>580</v>
      </c>
      <c r="E245"/>
      <c r="F245" t="s">
        <v>817</v>
      </c>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customHeight="1">
      <c r="A246" s="98" t="s">
        <v>813</v>
      </c>
      <c r="B246" s="98" t="s">
        <v>832</v>
      </c>
      <c r="C246" s="98" t="s">
        <v>580</v>
      </c>
      <c r="E246"/>
      <c r="F246" t="s">
        <v>818</v>
      </c>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customHeight="1">
      <c r="A247" s="98" t="s">
        <v>813</v>
      </c>
      <c r="B247" s="98" t="s">
        <v>833</v>
      </c>
      <c r="C247" s="98" t="s">
        <v>580</v>
      </c>
      <c r="E247"/>
      <c r="F247" t="s">
        <v>819</v>
      </c>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customHeight="1">
      <c r="A248" s="98" t="s">
        <v>834</v>
      </c>
      <c r="B248" s="98" t="s">
        <v>835</v>
      </c>
      <c r="C248" s="98" t="s">
        <v>12</v>
      </c>
      <c r="E248"/>
      <c r="F248" t="s">
        <v>820</v>
      </c>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customHeight="1">
      <c r="A249" s="98" t="s">
        <v>834</v>
      </c>
      <c r="B249" s="98" t="s">
        <v>836</v>
      </c>
      <c r="C249" s="98" t="s">
        <v>12</v>
      </c>
      <c r="E249"/>
      <c r="F249" t="s">
        <v>821</v>
      </c>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customHeight="1">
      <c r="A250" s="98" t="s">
        <v>834</v>
      </c>
      <c r="B250" s="98" t="s">
        <v>837</v>
      </c>
      <c r="C250" s="98" t="s">
        <v>12</v>
      </c>
      <c r="E250"/>
      <c r="F250" t="s">
        <v>822</v>
      </c>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customHeight="1">
      <c r="A251" s="98" t="s">
        <v>834</v>
      </c>
      <c r="B251" s="98" t="s">
        <v>838</v>
      </c>
      <c r="C251" s="98" t="s">
        <v>12</v>
      </c>
      <c r="E251"/>
      <c r="F251" t="s">
        <v>823</v>
      </c>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customHeight="1">
      <c r="A252" s="98" t="s">
        <v>834</v>
      </c>
      <c r="B252" s="98" t="s">
        <v>839</v>
      </c>
      <c r="C252" s="98" t="s">
        <v>12</v>
      </c>
      <c r="E252"/>
      <c r="F252" t="s">
        <v>824</v>
      </c>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customHeight="1">
      <c r="A253" s="98" t="s">
        <v>834</v>
      </c>
      <c r="B253" s="98" t="s">
        <v>840</v>
      </c>
      <c r="C253" s="98" t="s">
        <v>12</v>
      </c>
      <c r="E253"/>
      <c r="F253" t="s">
        <v>825</v>
      </c>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customHeight="1">
      <c r="A254" s="98" t="s">
        <v>834</v>
      </c>
      <c r="B254" s="98" t="s">
        <v>841</v>
      </c>
      <c r="C254" s="98" t="s">
        <v>12</v>
      </c>
      <c r="E254"/>
      <c r="F254" t="s">
        <v>826</v>
      </c>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customHeight="1">
      <c r="A255" s="98" t="s">
        <v>834</v>
      </c>
      <c r="B255" s="98" t="s">
        <v>842</v>
      </c>
      <c r="C255" s="98" t="s">
        <v>12</v>
      </c>
      <c r="E255"/>
      <c r="F255" t="s">
        <v>827</v>
      </c>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customHeight="1">
      <c r="A256" s="98" t="s">
        <v>834</v>
      </c>
      <c r="B256" s="98" t="s">
        <v>843</v>
      </c>
      <c r="C256" s="98" t="s">
        <v>12</v>
      </c>
      <c r="E256"/>
      <c r="F256" t="s">
        <v>828</v>
      </c>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customHeight="1">
      <c r="A257" s="98" t="s">
        <v>834</v>
      </c>
      <c r="B257" s="98" t="s">
        <v>844</v>
      </c>
      <c r="C257" s="98" t="s">
        <v>12</v>
      </c>
      <c r="E257"/>
      <c r="F257" t="s">
        <v>829</v>
      </c>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customHeight="1">
      <c r="A258" s="98" t="s">
        <v>834</v>
      </c>
      <c r="B258" s="98" t="s">
        <v>845</v>
      </c>
      <c r="C258" s="98" t="s">
        <v>12</v>
      </c>
      <c r="E258"/>
      <c r="F258" t="s">
        <v>830</v>
      </c>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customHeight="1">
      <c r="A259" s="98" t="s">
        <v>834</v>
      </c>
      <c r="B259" s="98" t="s">
        <v>846</v>
      </c>
      <c r="C259" s="98" t="s">
        <v>12</v>
      </c>
      <c r="E259"/>
      <c r="F259" t="s">
        <v>831</v>
      </c>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customHeight="1">
      <c r="A260" s="98" t="s">
        <v>834</v>
      </c>
      <c r="B260" s="98" t="s">
        <v>847</v>
      </c>
      <c r="C260" s="98" t="s">
        <v>12</v>
      </c>
      <c r="E260"/>
      <c r="F260" t="s">
        <v>832</v>
      </c>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customHeight="1">
      <c r="A261" s="98" t="s">
        <v>834</v>
      </c>
      <c r="B261" s="98" t="s">
        <v>848</v>
      </c>
      <c r="C261" s="98" t="s">
        <v>12</v>
      </c>
      <c r="E261"/>
      <c r="F261" t="s">
        <v>833</v>
      </c>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customHeight="1">
      <c r="A262" s="98" t="s">
        <v>834</v>
      </c>
      <c r="B262" s="98" t="s">
        <v>849</v>
      </c>
      <c r="C262" s="98" t="s">
        <v>12</v>
      </c>
      <c r="E262" t="s">
        <v>1357</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customHeight="1">
      <c r="A263" s="98" t="s">
        <v>834</v>
      </c>
      <c r="B263" s="98" t="s">
        <v>850</v>
      </c>
      <c r="C263" s="98" t="s">
        <v>12</v>
      </c>
      <c r="E263" t="s">
        <v>834</v>
      </c>
      <c r="F263" t="s">
        <v>835</v>
      </c>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customHeight="1">
      <c r="A264" s="98" t="s">
        <v>834</v>
      </c>
      <c r="B264" s="98" t="s">
        <v>851</v>
      </c>
      <c r="C264" s="98" t="s">
        <v>12</v>
      </c>
      <c r="E264"/>
      <c r="F264" t="s">
        <v>836</v>
      </c>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customHeight="1">
      <c r="A265" s="98" t="s">
        <v>834</v>
      </c>
      <c r="B265" s="98" t="s">
        <v>852</v>
      </c>
      <c r="C265" s="98" t="s">
        <v>12</v>
      </c>
      <c r="E265"/>
      <c r="F265" t="s">
        <v>837</v>
      </c>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customHeight="1">
      <c r="A266" s="98" t="s">
        <v>834</v>
      </c>
      <c r="B266" s="98" t="s">
        <v>853</v>
      </c>
      <c r="C266" s="98" t="s">
        <v>12</v>
      </c>
      <c r="E266"/>
      <c r="F266" t="s">
        <v>838</v>
      </c>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customHeight="1">
      <c r="A267" s="98" t="s">
        <v>834</v>
      </c>
      <c r="B267" s="98" t="s">
        <v>854</v>
      </c>
      <c r="C267" s="98" t="s">
        <v>12</v>
      </c>
      <c r="E267"/>
      <c r="F267" t="s">
        <v>839</v>
      </c>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customHeight="1">
      <c r="A268" s="98" t="s">
        <v>834</v>
      </c>
      <c r="B268" s="98" t="s">
        <v>855</v>
      </c>
      <c r="C268" s="98" t="s">
        <v>12</v>
      </c>
      <c r="E268"/>
      <c r="F268" t="s">
        <v>840</v>
      </c>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customHeight="1">
      <c r="A269" s="98" t="s">
        <v>834</v>
      </c>
      <c r="B269" s="98" t="s">
        <v>856</v>
      </c>
      <c r="C269" s="98" t="s">
        <v>12</v>
      </c>
      <c r="E269"/>
      <c r="F269" t="s">
        <v>841</v>
      </c>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customHeight="1">
      <c r="A270" s="98" t="s">
        <v>834</v>
      </c>
      <c r="B270" s="98" t="s">
        <v>857</v>
      </c>
      <c r="C270" s="98" t="s">
        <v>12</v>
      </c>
      <c r="E270"/>
      <c r="F270" t="s">
        <v>842</v>
      </c>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customHeight="1">
      <c r="A271" s="98" t="s">
        <v>834</v>
      </c>
      <c r="B271" s="98" t="s">
        <v>858</v>
      </c>
      <c r="C271" s="98" t="s">
        <v>12</v>
      </c>
      <c r="E271"/>
      <c r="F271" t="s">
        <v>843</v>
      </c>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customHeight="1">
      <c r="A272" s="98" t="s">
        <v>859</v>
      </c>
      <c r="B272" s="98" t="s">
        <v>860</v>
      </c>
      <c r="C272" s="98" t="s">
        <v>12</v>
      </c>
      <c r="E272"/>
      <c r="F272" t="s">
        <v>844</v>
      </c>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customHeight="1">
      <c r="A273" s="98" t="s">
        <v>859</v>
      </c>
      <c r="B273" s="98" t="s">
        <v>861</v>
      </c>
      <c r="C273" s="98" t="s">
        <v>12</v>
      </c>
      <c r="E273"/>
      <c r="F273" t="s">
        <v>845</v>
      </c>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customHeight="1">
      <c r="A274" s="98" t="s">
        <v>859</v>
      </c>
      <c r="B274" s="98" t="s">
        <v>862</v>
      </c>
      <c r="C274" s="98" t="s">
        <v>12</v>
      </c>
      <c r="E274"/>
      <c r="F274" t="s">
        <v>846</v>
      </c>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customHeight="1">
      <c r="A275" s="98" t="s">
        <v>859</v>
      </c>
      <c r="B275" s="98" t="s">
        <v>863</v>
      </c>
      <c r="C275" s="98" t="s">
        <v>12</v>
      </c>
      <c r="E275"/>
      <c r="F275" t="s">
        <v>847</v>
      </c>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customHeight="1">
      <c r="A276" s="98" t="s">
        <v>859</v>
      </c>
      <c r="B276" s="98" t="s">
        <v>864</v>
      </c>
      <c r="C276" s="98" t="s">
        <v>12</v>
      </c>
      <c r="E276"/>
      <c r="F276" t="s">
        <v>848</v>
      </c>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customHeight="1">
      <c r="A277" s="98" t="s">
        <v>859</v>
      </c>
      <c r="B277" s="98" t="s">
        <v>865</v>
      </c>
      <c r="C277" s="98" t="s">
        <v>12</v>
      </c>
      <c r="E277"/>
      <c r="F277" t="s">
        <v>849</v>
      </c>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customHeight="1">
      <c r="A278" s="98" t="s">
        <v>859</v>
      </c>
      <c r="B278" s="98" t="s">
        <v>866</v>
      </c>
      <c r="C278" s="98" t="s">
        <v>12</v>
      </c>
      <c r="E278"/>
      <c r="F278" t="s">
        <v>850</v>
      </c>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customHeight="1">
      <c r="A279" s="98" t="s">
        <v>859</v>
      </c>
      <c r="B279" s="98" t="s">
        <v>867</v>
      </c>
      <c r="C279" s="98" t="s">
        <v>12</v>
      </c>
      <c r="E279"/>
      <c r="F279" t="s">
        <v>851</v>
      </c>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customHeight="1">
      <c r="A280" s="98" t="s">
        <v>859</v>
      </c>
      <c r="B280" s="98" t="s">
        <v>868</v>
      </c>
      <c r="C280" s="98" t="s">
        <v>12</v>
      </c>
      <c r="E280"/>
      <c r="F280" t="s">
        <v>852</v>
      </c>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customHeight="1">
      <c r="A281" s="98" t="s">
        <v>859</v>
      </c>
      <c r="B281" s="98" t="s">
        <v>869</v>
      </c>
      <c r="C281" s="98" t="s">
        <v>12</v>
      </c>
      <c r="E281"/>
      <c r="F281" t="s">
        <v>853</v>
      </c>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customHeight="1">
      <c r="A282" s="98" t="s">
        <v>859</v>
      </c>
      <c r="B282" s="98" t="s">
        <v>870</v>
      </c>
      <c r="C282" s="98" t="s">
        <v>12</v>
      </c>
      <c r="E282"/>
      <c r="F282" t="s">
        <v>854</v>
      </c>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customHeight="1">
      <c r="A283" s="98" t="s">
        <v>859</v>
      </c>
      <c r="B283" s="98" t="s">
        <v>871</v>
      </c>
      <c r="C283" s="98" t="s">
        <v>12</v>
      </c>
      <c r="E283"/>
      <c r="F283" t="s">
        <v>855</v>
      </c>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customHeight="1">
      <c r="A284" s="98" t="s">
        <v>859</v>
      </c>
      <c r="B284" s="98" t="s">
        <v>872</v>
      </c>
      <c r="C284" s="98" t="s">
        <v>12</v>
      </c>
      <c r="E284"/>
      <c r="F284" t="s">
        <v>856</v>
      </c>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customHeight="1">
      <c r="A285" s="98" t="s">
        <v>859</v>
      </c>
      <c r="B285" s="98" t="s">
        <v>873</v>
      </c>
      <c r="C285" s="98" t="s">
        <v>12</v>
      </c>
      <c r="E285"/>
      <c r="F285" t="s">
        <v>857</v>
      </c>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customHeight="1">
      <c r="A286" s="98" t="s">
        <v>859</v>
      </c>
      <c r="B286" s="98" t="s">
        <v>874</v>
      </c>
      <c r="C286" s="98" t="s">
        <v>12</v>
      </c>
      <c r="E286"/>
      <c r="F286" t="s">
        <v>858</v>
      </c>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customHeight="1">
      <c r="A287" s="98" t="s">
        <v>859</v>
      </c>
      <c r="B287" s="98" t="s">
        <v>875</v>
      </c>
      <c r="C287" s="98" t="s">
        <v>12</v>
      </c>
      <c r="E287" t="s">
        <v>1358</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customHeight="1">
      <c r="A288" s="98" t="s">
        <v>859</v>
      </c>
      <c r="B288" s="98" t="s">
        <v>876</v>
      </c>
      <c r="C288" s="98" t="s">
        <v>12</v>
      </c>
      <c r="E288" t="s">
        <v>859</v>
      </c>
      <c r="F288" t="s">
        <v>860</v>
      </c>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customHeight="1">
      <c r="A289" s="98" t="s">
        <v>859</v>
      </c>
      <c r="B289" s="98" t="s">
        <v>877</v>
      </c>
      <c r="C289" s="98" t="s">
        <v>12</v>
      </c>
      <c r="E289"/>
      <c r="F289" t="s">
        <v>861</v>
      </c>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customHeight="1">
      <c r="A290" s="98" t="s">
        <v>859</v>
      </c>
      <c r="B290" s="98" t="s">
        <v>878</v>
      </c>
      <c r="C290" s="98" t="s">
        <v>12</v>
      </c>
      <c r="E290"/>
      <c r="F290" t="s">
        <v>862</v>
      </c>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customHeight="1">
      <c r="A291" s="98" t="s">
        <v>859</v>
      </c>
      <c r="B291" s="98" t="s">
        <v>879</v>
      </c>
      <c r="C291" s="98" t="s">
        <v>12</v>
      </c>
      <c r="E291"/>
      <c r="F291" t="s">
        <v>863</v>
      </c>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customHeight="1">
      <c r="A292" s="98" t="s">
        <v>859</v>
      </c>
      <c r="B292" s="98" t="s">
        <v>880</v>
      </c>
      <c r="C292" s="98" t="s">
        <v>12</v>
      </c>
      <c r="E292"/>
      <c r="F292" t="s">
        <v>864</v>
      </c>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customHeight="1">
      <c r="A293" s="98" t="s">
        <v>859</v>
      </c>
      <c r="B293" s="98" t="s">
        <v>881</v>
      </c>
      <c r="C293" s="98" t="s">
        <v>12</v>
      </c>
      <c r="E293"/>
      <c r="F293" t="s">
        <v>865</v>
      </c>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customHeight="1">
      <c r="A294" s="98" t="s">
        <v>859</v>
      </c>
      <c r="B294" s="98" t="s">
        <v>882</v>
      </c>
      <c r="C294" s="98" t="s">
        <v>12</v>
      </c>
      <c r="E294"/>
      <c r="F294" t="s">
        <v>866</v>
      </c>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customHeight="1">
      <c r="A295" s="98" t="s">
        <v>859</v>
      </c>
      <c r="B295" s="98" t="s">
        <v>883</v>
      </c>
      <c r="C295" s="98" t="s">
        <v>12</v>
      </c>
      <c r="E295"/>
      <c r="F295" t="s">
        <v>867</v>
      </c>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customHeight="1">
      <c r="A296" s="98" t="s">
        <v>859</v>
      </c>
      <c r="B296" s="98" t="s">
        <v>884</v>
      </c>
      <c r="C296" s="98" t="s">
        <v>12</v>
      </c>
      <c r="E296"/>
      <c r="F296" t="s">
        <v>868</v>
      </c>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customHeight="1">
      <c r="A297" s="98" t="s">
        <v>859</v>
      </c>
      <c r="B297" s="98" t="s">
        <v>885</v>
      </c>
      <c r="C297" s="98" t="s">
        <v>12</v>
      </c>
      <c r="E297"/>
      <c r="F297" t="s">
        <v>869</v>
      </c>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customHeight="1">
      <c r="A298" s="98" t="s">
        <v>859</v>
      </c>
      <c r="B298" s="98" t="s">
        <v>886</v>
      </c>
      <c r="C298" s="98" t="s">
        <v>12</v>
      </c>
      <c r="E298"/>
      <c r="F298" t="s">
        <v>870</v>
      </c>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customHeight="1">
      <c r="A299" s="98" t="s">
        <v>859</v>
      </c>
      <c r="B299" s="98" t="s">
        <v>887</v>
      </c>
      <c r="C299" s="98" t="s">
        <v>12</v>
      </c>
      <c r="E299"/>
      <c r="F299" t="s">
        <v>871</v>
      </c>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customHeight="1">
      <c r="A300" s="98" t="s">
        <v>859</v>
      </c>
      <c r="B300" s="98" t="s">
        <v>888</v>
      </c>
      <c r="C300" s="98" t="s">
        <v>12</v>
      </c>
      <c r="E300"/>
      <c r="F300" t="s">
        <v>872</v>
      </c>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customHeight="1">
      <c r="A301" s="98" t="s">
        <v>859</v>
      </c>
      <c r="B301" s="98" t="s">
        <v>889</v>
      </c>
      <c r="C301" s="98" t="s">
        <v>12</v>
      </c>
      <c r="E301"/>
      <c r="F301" t="s">
        <v>873</v>
      </c>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customHeight="1">
      <c r="A302" s="98" t="s">
        <v>890</v>
      </c>
      <c r="B302" s="98" t="s">
        <v>891</v>
      </c>
      <c r="C302" s="98" t="s">
        <v>12</v>
      </c>
      <c r="E302"/>
      <c r="F302" t="s">
        <v>874</v>
      </c>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customHeight="1">
      <c r="A303" s="98" t="s">
        <v>890</v>
      </c>
      <c r="B303" s="98" t="s">
        <v>892</v>
      </c>
      <c r="C303" s="98" t="s">
        <v>12</v>
      </c>
      <c r="E303"/>
      <c r="F303" t="s">
        <v>875</v>
      </c>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customHeight="1">
      <c r="A304" s="98" t="s">
        <v>890</v>
      </c>
      <c r="B304" s="98" t="s">
        <v>893</v>
      </c>
      <c r="C304" s="98" t="s">
        <v>12</v>
      </c>
      <c r="E304"/>
      <c r="F304" t="s">
        <v>876</v>
      </c>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1:38" ht="15.75" customHeight="1">
      <c r="A305" s="98" t="s">
        <v>890</v>
      </c>
      <c r="B305" s="98" t="s">
        <v>894</v>
      </c>
      <c r="C305" s="98" t="s">
        <v>12</v>
      </c>
      <c r="E305"/>
      <c r="F305" t="s">
        <v>877</v>
      </c>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1:38" ht="15.75" customHeight="1">
      <c r="A306" s="98" t="s">
        <v>890</v>
      </c>
      <c r="B306" s="98" t="s">
        <v>895</v>
      </c>
      <c r="C306" s="98" t="s">
        <v>12</v>
      </c>
      <c r="E306"/>
      <c r="F306" t="s">
        <v>878</v>
      </c>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1:38" ht="15.75" customHeight="1">
      <c r="A307" s="98" t="s">
        <v>890</v>
      </c>
      <c r="B307" s="98" t="s">
        <v>896</v>
      </c>
      <c r="C307" s="98" t="s">
        <v>12</v>
      </c>
      <c r="E307"/>
      <c r="F307" t="s">
        <v>879</v>
      </c>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1:38" ht="15.75" customHeight="1">
      <c r="A308" s="98" t="s">
        <v>890</v>
      </c>
      <c r="B308" s="98" t="s">
        <v>897</v>
      </c>
      <c r="C308" s="98" t="s">
        <v>12</v>
      </c>
      <c r="E308"/>
      <c r="F308" t="s">
        <v>880</v>
      </c>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1:38" ht="15.75" customHeight="1">
      <c r="A309" s="98" t="s">
        <v>890</v>
      </c>
      <c r="B309" s="98" t="s">
        <v>898</v>
      </c>
      <c r="C309" s="98" t="s">
        <v>12</v>
      </c>
      <c r="E309"/>
      <c r="F309" t="s">
        <v>881</v>
      </c>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1:38" ht="15.75" customHeight="1">
      <c r="A310" s="98" t="s">
        <v>890</v>
      </c>
      <c r="B310" s="98" t="s">
        <v>899</v>
      </c>
      <c r="C310" s="98" t="s">
        <v>12</v>
      </c>
      <c r="E310"/>
      <c r="F310" t="s">
        <v>882</v>
      </c>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1:38" ht="15.75" customHeight="1">
      <c r="A311" s="98" t="s">
        <v>890</v>
      </c>
      <c r="B311" s="98" t="s">
        <v>900</v>
      </c>
      <c r="C311" s="98" t="s">
        <v>12</v>
      </c>
      <c r="E311"/>
      <c r="F311" t="s">
        <v>883</v>
      </c>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1:38" ht="15.75" customHeight="1">
      <c r="A312" s="98" t="s">
        <v>890</v>
      </c>
      <c r="B312" s="98" t="s">
        <v>901</v>
      </c>
      <c r="C312" s="98" t="s">
        <v>12</v>
      </c>
      <c r="E312"/>
      <c r="F312" t="s">
        <v>884</v>
      </c>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1:38" ht="15.75" customHeight="1">
      <c r="A313" s="98" t="s">
        <v>890</v>
      </c>
      <c r="B313" s="98" t="s">
        <v>902</v>
      </c>
      <c r="C313" s="98" t="s">
        <v>12</v>
      </c>
      <c r="E313"/>
      <c r="F313" t="s">
        <v>885</v>
      </c>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1:38" ht="15.75" customHeight="1">
      <c r="A314" s="98" t="s">
        <v>890</v>
      </c>
      <c r="B314" s="98" t="s">
        <v>903</v>
      </c>
      <c r="C314" s="98" t="s">
        <v>12</v>
      </c>
      <c r="E314"/>
      <c r="F314" t="s">
        <v>886</v>
      </c>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1:38" ht="15.75" customHeight="1">
      <c r="A315" s="98" t="s">
        <v>890</v>
      </c>
      <c r="B315" s="98" t="s">
        <v>904</v>
      </c>
      <c r="C315" s="98" t="s">
        <v>12</v>
      </c>
      <c r="E315"/>
      <c r="F315" t="s">
        <v>887</v>
      </c>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1:38" ht="15.75" customHeight="1">
      <c r="A316" s="98" t="s">
        <v>905</v>
      </c>
      <c r="B316" s="98" t="s">
        <v>906</v>
      </c>
      <c r="C316" s="98" t="s">
        <v>580</v>
      </c>
      <c r="E316"/>
      <c r="F316" t="s">
        <v>888</v>
      </c>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1:38" ht="15.75" customHeight="1">
      <c r="A317" s="98" t="s">
        <v>905</v>
      </c>
      <c r="B317" s="98" t="s">
        <v>907</v>
      </c>
      <c r="C317" s="98" t="s">
        <v>580</v>
      </c>
      <c r="E317"/>
      <c r="F317" t="s">
        <v>889</v>
      </c>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1:38" ht="15.75" customHeight="1">
      <c r="A318" s="98" t="s">
        <v>908</v>
      </c>
      <c r="B318" s="98" t="s">
        <v>908</v>
      </c>
      <c r="C318" s="98" t="s">
        <v>580</v>
      </c>
      <c r="E318" t="s">
        <v>1359</v>
      </c>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1:38" ht="15.75" customHeight="1">
      <c r="A319" s="98" t="s">
        <v>909</v>
      </c>
      <c r="B319" s="98" t="s">
        <v>910</v>
      </c>
      <c r="C319" s="98" t="s">
        <v>12</v>
      </c>
      <c r="E319" t="s">
        <v>890</v>
      </c>
      <c r="F319" t="s">
        <v>891</v>
      </c>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1:38" ht="15.75" customHeight="1">
      <c r="A320" s="98" t="s">
        <v>909</v>
      </c>
      <c r="B320" s="98" t="s">
        <v>911</v>
      </c>
      <c r="C320" s="98" t="s">
        <v>12</v>
      </c>
      <c r="E320"/>
      <c r="F320" t="s">
        <v>892</v>
      </c>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customHeight="1">
      <c r="A321" s="98" t="s">
        <v>909</v>
      </c>
      <c r="B321" s="98" t="s">
        <v>912</v>
      </c>
      <c r="C321" s="98" t="s">
        <v>12</v>
      </c>
      <c r="E321"/>
      <c r="F321" t="s">
        <v>893</v>
      </c>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customHeight="1">
      <c r="A322" s="98" t="s">
        <v>909</v>
      </c>
      <c r="B322" s="98" t="s">
        <v>913</v>
      </c>
      <c r="C322" s="98" t="s">
        <v>12</v>
      </c>
      <c r="E322"/>
      <c r="F322" t="s">
        <v>894</v>
      </c>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customHeight="1">
      <c r="A323" s="98" t="s">
        <v>909</v>
      </c>
      <c r="B323" s="98" t="s">
        <v>914</v>
      </c>
      <c r="C323" s="98" t="s">
        <v>12</v>
      </c>
      <c r="E323"/>
      <c r="F323" t="s">
        <v>895</v>
      </c>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customHeight="1">
      <c r="A324" s="98" t="s">
        <v>909</v>
      </c>
      <c r="B324" s="98" t="s">
        <v>915</v>
      </c>
      <c r="C324" s="98" t="s">
        <v>12</v>
      </c>
      <c r="E324"/>
      <c r="F324" t="s">
        <v>896</v>
      </c>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customHeight="1">
      <c r="A325" s="98" t="s">
        <v>909</v>
      </c>
      <c r="B325" s="98" t="s">
        <v>916</v>
      </c>
      <c r="C325" s="98" t="s">
        <v>12</v>
      </c>
      <c r="E325"/>
      <c r="F325" t="s">
        <v>897</v>
      </c>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customHeight="1">
      <c r="A326" s="98" t="s">
        <v>909</v>
      </c>
      <c r="B326" s="98" t="s">
        <v>917</v>
      </c>
      <c r="C326" s="98" t="s">
        <v>12</v>
      </c>
      <c r="E326"/>
      <c r="F326" t="s">
        <v>898</v>
      </c>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customHeight="1">
      <c r="A327" s="98" t="s">
        <v>909</v>
      </c>
      <c r="B327" s="98" t="s">
        <v>918</v>
      </c>
      <c r="C327" s="98" t="s">
        <v>12</v>
      </c>
      <c r="E327"/>
      <c r="F327" t="s">
        <v>899</v>
      </c>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customHeight="1">
      <c r="A328" s="98" t="s">
        <v>909</v>
      </c>
      <c r="B328" s="98" t="s">
        <v>919</v>
      </c>
      <c r="C328" s="98" t="s">
        <v>12</v>
      </c>
      <c r="E328"/>
      <c r="F328" t="s">
        <v>900</v>
      </c>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customHeight="1">
      <c r="A329" s="98" t="s">
        <v>909</v>
      </c>
      <c r="B329" s="98" t="s">
        <v>920</v>
      </c>
      <c r="C329" s="98" t="s">
        <v>12</v>
      </c>
      <c r="E329"/>
      <c r="F329" t="s">
        <v>901</v>
      </c>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customHeight="1">
      <c r="A330" s="98" t="s">
        <v>909</v>
      </c>
      <c r="B330" s="98" t="s">
        <v>921</v>
      </c>
      <c r="C330" s="98" t="s">
        <v>12</v>
      </c>
      <c r="E330"/>
      <c r="F330" t="s">
        <v>902</v>
      </c>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customHeight="1">
      <c r="A331" s="98" t="s">
        <v>909</v>
      </c>
      <c r="B331" s="98" t="s">
        <v>922</v>
      </c>
      <c r="C331" s="98" t="s">
        <v>12</v>
      </c>
      <c r="E331"/>
      <c r="F331" t="s">
        <v>903</v>
      </c>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customHeight="1">
      <c r="A332" s="98" t="s">
        <v>909</v>
      </c>
      <c r="B332" s="98" t="s">
        <v>923</v>
      </c>
      <c r="C332" s="98" t="s">
        <v>12</v>
      </c>
      <c r="E332"/>
      <c r="F332" t="s">
        <v>904</v>
      </c>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customHeight="1">
      <c r="A333" s="98" t="s">
        <v>909</v>
      </c>
      <c r="B333" s="98" t="s">
        <v>924</v>
      </c>
      <c r="C333" s="98" t="s">
        <v>12</v>
      </c>
      <c r="E333" t="s">
        <v>1360</v>
      </c>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customHeight="1">
      <c r="A334" s="98" t="s">
        <v>909</v>
      </c>
      <c r="B334" s="98" t="s">
        <v>925</v>
      </c>
      <c r="C334" s="98" t="s">
        <v>12</v>
      </c>
      <c r="E334" t="s">
        <v>905</v>
      </c>
      <c r="F334" t="s">
        <v>906</v>
      </c>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customHeight="1">
      <c r="A335" s="98" t="s">
        <v>909</v>
      </c>
      <c r="B335" s="98" t="s">
        <v>926</v>
      </c>
      <c r="C335" s="98" t="s">
        <v>12</v>
      </c>
      <c r="E335"/>
      <c r="F335" t="s">
        <v>907</v>
      </c>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customHeight="1">
      <c r="A336" s="98" t="s">
        <v>909</v>
      </c>
      <c r="B336" s="98" t="s">
        <v>927</v>
      </c>
      <c r="C336" s="98" t="s">
        <v>12</v>
      </c>
      <c r="E336" t="s">
        <v>1361</v>
      </c>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customHeight="1">
      <c r="A337" s="98" t="s">
        <v>909</v>
      </c>
      <c r="B337" s="98" t="s">
        <v>928</v>
      </c>
      <c r="C337" s="98" t="s">
        <v>12</v>
      </c>
      <c r="E337" t="s">
        <v>908</v>
      </c>
      <c r="F337" t="s">
        <v>908</v>
      </c>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customHeight="1">
      <c r="A338" s="98" t="s">
        <v>909</v>
      </c>
      <c r="B338" s="98" t="s">
        <v>929</v>
      </c>
      <c r="C338" s="98" t="s">
        <v>12</v>
      </c>
      <c r="E338" t="s">
        <v>1362</v>
      </c>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customHeight="1">
      <c r="A339" s="98" t="s">
        <v>909</v>
      </c>
      <c r="B339" s="98" t="s">
        <v>930</v>
      </c>
      <c r="C339" s="98" t="s">
        <v>12</v>
      </c>
      <c r="E339" t="s">
        <v>909</v>
      </c>
      <c r="F339" t="s">
        <v>910</v>
      </c>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customHeight="1">
      <c r="A340" s="98" t="s">
        <v>909</v>
      </c>
      <c r="B340" s="98" t="s">
        <v>931</v>
      </c>
      <c r="C340" s="98" t="s">
        <v>12</v>
      </c>
      <c r="E340"/>
      <c r="F340" t="s">
        <v>911</v>
      </c>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customHeight="1">
      <c r="A341" s="98" t="s">
        <v>909</v>
      </c>
      <c r="B341" s="98" t="s">
        <v>932</v>
      </c>
      <c r="C341" s="98" t="s">
        <v>12</v>
      </c>
      <c r="E341"/>
      <c r="F341" t="s">
        <v>912</v>
      </c>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customHeight="1">
      <c r="A342" s="98" t="s">
        <v>909</v>
      </c>
      <c r="B342" s="98" t="s">
        <v>933</v>
      </c>
      <c r="C342" s="98" t="s">
        <v>12</v>
      </c>
      <c r="E342"/>
      <c r="F342" t="s">
        <v>913</v>
      </c>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customHeight="1">
      <c r="A343" s="98" t="s">
        <v>909</v>
      </c>
      <c r="B343" s="98" t="s">
        <v>934</v>
      </c>
      <c r="C343" s="98" t="s">
        <v>12</v>
      </c>
      <c r="E343"/>
      <c r="F343" t="s">
        <v>914</v>
      </c>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customHeight="1">
      <c r="A344" s="98" t="s">
        <v>909</v>
      </c>
      <c r="B344" s="98" t="s">
        <v>935</v>
      </c>
      <c r="C344" s="98" t="s">
        <v>12</v>
      </c>
      <c r="E344"/>
      <c r="F344" t="s">
        <v>915</v>
      </c>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customHeight="1">
      <c r="A345" s="98" t="s">
        <v>909</v>
      </c>
      <c r="B345" s="98" t="s">
        <v>936</v>
      </c>
      <c r="C345" s="98" t="s">
        <v>12</v>
      </c>
      <c r="E345"/>
      <c r="F345" t="s">
        <v>916</v>
      </c>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customHeight="1">
      <c r="A346" s="98" t="s">
        <v>909</v>
      </c>
      <c r="B346" s="98" t="s">
        <v>937</v>
      </c>
      <c r="C346" s="98" t="s">
        <v>12</v>
      </c>
      <c r="E346"/>
      <c r="F346" t="s">
        <v>917</v>
      </c>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customHeight="1">
      <c r="A347" s="98" t="s">
        <v>909</v>
      </c>
      <c r="B347" s="98" t="s">
        <v>938</v>
      </c>
      <c r="C347" s="98" t="s">
        <v>12</v>
      </c>
      <c r="E347"/>
      <c r="F347" t="s">
        <v>918</v>
      </c>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customHeight="1">
      <c r="A348" s="98" t="s">
        <v>909</v>
      </c>
      <c r="B348" s="98" t="s">
        <v>939</v>
      </c>
      <c r="C348" s="98" t="s">
        <v>12</v>
      </c>
      <c r="E348"/>
      <c r="F348" t="s">
        <v>919</v>
      </c>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customHeight="1">
      <c r="A349" s="98" t="s">
        <v>909</v>
      </c>
      <c r="B349" s="98" t="s">
        <v>940</v>
      </c>
      <c r="C349" s="98" t="s">
        <v>12</v>
      </c>
      <c r="E349"/>
      <c r="F349" t="s">
        <v>920</v>
      </c>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customHeight="1">
      <c r="A350" s="98" t="s">
        <v>909</v>
      </c>
      <c r="B350" s="98" t="s">
        <v>941</v>
      </c>
      <c r="C350" s="98" t="s">
        <v>12</v>
      </c>
      <c r="E350"/>
      <c r="F350" t="s">
        <v>921</v>
      </c>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customHeight="1">
      <c r="A351" s="98" t="s">
        <v>909</v>
      </c>
      <c r="B351" s="98" t="s">
        <v>942</v>
      </c>
      <c r="C351" s="98" t="s">
        <v>12</v>
      </c>
      <c r="E351"/>
      <c r="F351" t="s">
        <v>922</v>
      </c>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customHeight="1">
      <c r="A352" s="98" t="s">
        <v>909</v>
      </c>
      <c r="B352" s="98" t="s">
        <v>943</v>
      </c>
      <c r="C352" s="98" t="s">
        <v>12</v>
      </c>
      <c r="E352"/>
      <c r="F352" t="s">
        <v>923</v>
      </c>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customHeight="1">
      <c r="A353" s="98" t="s">
        <v>909</v>
      </c>
      <c r="B353" s="98" t="s">
        <v>944</v>
      </c>
      <c r="C353" s="98" t="s">
        <v>12</v>
      </c>
      <c r="E353"/>
      <c r="F353" t="s">
        <v>924</v>
      </c>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customHeight="1">
      <c r="A354" s="98" t="s">
        <v>909</v>
      </c>
      <c r="B354" s="98" t="s">
        <v>945</v>
      </c>
      <c r="C354" s="98" t="s">
        <v>12</v>
      </c>
      <c r="E354"/>
      <c r="F354" t="s">
        <v>925</v>
      </c>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customHeight="1">
      <c r="A355" s="98" t="s">
        <v>909</v>
      </c>
      <c r="B355" s="98" t="s">
        <v>946</v>
      </c>
      <c r="C355" s="98" t="s">
        <v>12</v>
      </c>
      <c r="E355"/>
      <c r="F355" t="s">
        <v>926</v>
      </c>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customHeight="1">
      <c r="A356" s="98" t="s">
        <v>909</v>
      </c>
      <c r="B356" s="98" t="s">
        <v>947</v>
      </c>
      <c r="C356" s="98" t="s">
        <v>12</v>
      </c>
      <c r="E356"/>
      <c r="F356" t="s">
        <v>927</v>
      </c>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customHeight="1">
      <c r="A357" s="98" t="s">
        <v>909</v>
      </c>
      <c r="B357" s="98" t="s">
        <v>948</v>
      </c>
      <c r="C357" s="98" t="s">
        <v>12</v>
      </c>
      <c r="E357"/>
      <c r="F357" t="s">
        <v>928</v>
      </c>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customHeight="1">
      <c r="A358" s="98" t="s">
        <v>909</v>
      </c>
      <c r="B358" s="98" t="s">
        <v>949</v>
      </c>
      <c r="C358" s="98" t="s">
        <v>12</v>
      </c>
      <c r="E358"/>
      <c r="F358" t="s">
        <v>929</v>
      </c>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customHeight="1">
      <c r="A359" s="98" t="s">
        <v>909</v>
      </c>
      <c r="B359" s="98" t="s">
        <v>950</v>
      </c>
      <c r="C359" s="98" t="s">
        <v>12</v>
      </c>
      <c r="E359"/>
      <c r="F359" t="s">
        <v>930</v>
      </c>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customHeight="1">
      <c r="A360" s="98" t="s">
        <v>909</v>
      </c>
      <c r="B360" s="98" t="s">
        <v>951</v>
      </c>
      <c r="C360" s="98" t="s">
        <v>12</v>
      </c>
      <c r="E360"/>
      <c r="F360" t="s">
        <v>931</v>
      </c>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customHeight="1">
      <c r="A361" s="98" t="s">
        <v>909</v>
      </c>
      <c r="B361" s="98" t="s">
        <v>952</v>
      </c>
      <c r="C361" s="98" t="s">
        <v>12</v>
      </c>
      <c r="E361"/>
      <c r="F361" t="s">
        <v>932</v>
      </c>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customHeight="1">
      <c r="A362" s="98" t="s">
        <v>909</v>
      </c>
      <c r="B362" s="98" t="s">
        <v>953</v>
      </c>
      <c r="C362" s="98" t="s">
        <v>12</v>
      </c>
      <c r="E362"/>
      <c r="F362" t="s">
        <v>933</v>
      </c>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customHeight="1">
      <c r="A363" s="98" t="s">
        <v>909</v>
      </c>
      <c r="B363" s="98" t="s">
        <v>954</v>
      </c>
      <c r="C363" s="98" t="s">
        <v>12</v>
      </c>
      <c r="E363"/>
      <c r="F363" t="s">
        <v>934</v>
      </c>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customHeight="1">
      <c r="A364" s="98" t="s">
        <v>909</v>
      </c>
      <c r="B364" s="98" t="s">
        <v>955</v>
      </c>
      <c r="C364" s="98" t="s">
        <v>12</v>
      </c>
      <c r="E364"/>
      <c r="F364" t="s">
        <v>935</v>
      </c>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customHeight="1">
      <c r="A365" s="98" t="s">
        <v>909</v>
      </c>
      <c r="B365" s="98" t="s">
        <v>956</v>
      </c>
      <c r="C365" s="98" t="s">
        <v>12</v>
      </c>
      <c r="E365"/>
      <c r="F365" t="s">
        <v>936</v>
      </c>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customHeight="1">
      <c r="A366" s="98" t="s">
        <v>909</v>
      </c>
      <c r="B366" s="98" t="s">
        <v>957</v>
      </c>
      <c r="C366" s="98" t="s">
        <v>12</v>
      </c>
      <c r="E366"/>
      <c r="F366" t="s">
        <v>937</v>
      </c>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customHeight="1">
      <c r="A367" s="98" t="s">
        <v>909</v>
      </c>
      <c r="B367" s="98" t="s">
        <v>958</v>
      </c>
      <c r="C367" s="98" t="s">
        <v>12</v>
      </c>
      <c r="E367"/>
      <c r="F367" t="s">
        <v>938</v>
      </c>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customHeight="1">
      <c r="A368" s="98" t="s">
        <v>909</v>
      </c>
      <c r="B368" s="98" t="s">
        <v>959</v>
      </c>
      <c r="C368" s="98" t="s">
        <v>12</v>
      </c>
      <c r="E368"/>
      <c r="F368" t="s">
        <v>939</v>
      </c>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1:38" ht="15.75" customHeight="1">
      <c r="A369" s="98" t="s">
        <v>909</v>
      </c>
      <c r="B369" s="98" t="s">
        <v>960</v>
      </c>
      <c r="C369" s="98" t="s">
        <v>12</v>
      </c>
      <c r="E369"/>
      <c r="F369" t="s">
        <v>940</v>
      </c>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1:38" ht="15.75" customHeight="1">
      <c r="A370" s="98" t="s">
        <v>909</v>
      </c>
      <c r="B370" s="98" t="s">
        <v>961</v>
      </c>
      <c r="C370" s="98" t="s">
        <v>12</v>
      </c>
      <c r="E370"/>
      <c r="F370" t="s">
        <v>941</v>
      </c>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1:38" ht="15.75" customHeight="1">
      <c r="A371" s="98" t="s">
        <v>909</v>
      </c>
      <c r="B371" s="98" t="s">
        <v>962</v>
      </c>
      <c r="C371" s="98" t="s">
        <v>12</v>
      </c>
      <c r="E371"/>
      <c r="F371" t="s">
        <v>942</v>
      </c>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1:38" ht="15.75" customHeight="1">
      <c r="A372" s="98" t="s">
        <v>909</v>
      </c>
      <c r="B372" s="98" t="s">
        <v>963</v>
      </c>
      <c r="C372" s="98" t="s">
        <v>12</v>
      </c>
      <c r="E372"/>
      <c r="F372" t="s">
        <v>943</v>
      </c>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1:38" ht="15.75" customHeight="1">
      <c r="A373" s="98" t="s">
        <v>909</v>
      </c>
      <c r="B373" s="98" t="s">
        <v>964</v>
      </c>
      <c r="C373" s="98" t="s">
        <v>12</v>
      </c>
      <c r="E373"/>
      <c r="F373" t="s">
        <v>944</v>
      </c>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1:38" ht="15.75" customHeight="1">
      <c r="A374" s="98" t="s">
        <v>965</v>
      </c>
      <c r="B374" s="98" t="s">
        <v>966</v>
      </c>
      <c r="C374" s="98" t="s">
        <v>12</v>
      </c>
      <c r="E374"/>
      <c r="F374" t="s">
        <v>945</v>
      </c>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1:38" ht="15.75" customHeight="1">
      <c r="A375" s="98" t="s">
        <v>965</v>
      </c>
      <c r="B375" s="98" t="s">
        <v>967</v>
      </c>
      <c r="C375" s="98" t="s">
        <v>12</v>
      </c>
      <c r="E375"/>
      <c r="F375" t="s">
        <v>946</v>
      </c>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1:38" ht="15.75" customHeight="1">
      <c r="A376" s="98" t="s">
        <v>965</v>
      </c>
      <c r="B376" s="98" t="s">
        <v>968</v>
      </c>
      <c r="C376" s="98" t="s">
        <v>12</v>
      </c>
      <c r="E376"/>
      <c r="F376" t="s">
        <v>947</v>
      </c>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1:38" ht="15.75" customHeight="1">
      <c r="A377" s="98" t="s">
        <v>965</v>
      </c>
      <c r="B377" s="98" t="s">
        <v>660</v>
      </c>
      <c r="C377" s="98" t="s">
        <v>12</v>
      </c>
      <c r="E377"/>
      <c r="F377" t="s">
        <v>948</v>
      </c>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1:38" ht="15.75" customHeight="1">
      <c r="A378" s="98" t="s">
        <v>965</v>
      </c>
      <c r="B378" s="98" t="s">
        <v>969</v>
      </c>
      <c r="C378" s="98" t="s">
        <v>12</v>
      </c>
      <c r="E378"/>
      <c r="F378" t="s">
        <v>949</v>
      </c>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1:38" ht="15.75" customHeight="1">
      <c r="A379" s="98" t="s">
        <v>965</v>
      </c>
      <c r="B379" s="98" t="s">
        <v>970</v>
      </c>
      <c r="C379" s="98" t="s">
        <v>12</v>
      </c>
      <c r="E379"/>
      <c r="F379" t="s">
        <v>950</v>
      </c>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1:38" ht="15.75" customHeight="1">
      <c r="A380" s="98" t="s">
        <v>965</v>
      </c>
      <c r="B380" s="98" t="s">
        <v>971</v>
      </c>
      <c r="C380" s="98" t="s">
        <v>12</v>
      </c>
      <c r="E380"/>
      <c r="F380" t="s">
        <v>951</v>
      </c>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1:38" ht="15.75" customHeight="1">
      <c r="A381" s="98" t="s">
        <v>965</v>
      </c>
      <c r="B381" s="98" t="s">
        <v>972</v>
      </c>
      <c r="C381" s="98" t="s">
        <v>12</v>
      </c>
      <c r="E381"/>
      <c r="F381" t="s">
        <v>952</v>
      </c>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1:38" ht="15.75" customHeight="1">
      <c r="A382" s="98" t="s">
        <v>965</v>
      </c>
      <c r="B382" s="98" t="s">
        <v>973</v>
      </c>
      <c r="C382" s="98" t="s">
        <v>12</v>
      </c>
      <c r="E382"/>
      <c r="F382" t="s">
        <v>953</v>
      </c>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1:38" ht="15.75" customHeight="1">
      <c r="A383" s="98" t="s">
        <v>965</v>
      </c>
      <c r="B383" s="98" t="s">
        <v>974</v>
      </c>
      <c r="C383" s="98" t="s">
        <v>12</v>
      </c>
      <c r="E383"/>
      <c r="F383" t="s">
        <v>954</v>
      </c>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1:38" ht="15.75" customHeight="1">
      <c r="A384" s="98" t="s">
        <v>965</v>
      </c>
      <c r="B384" s="98" t="s">
        <v>975</v>
      </c>
      <c r="C384" s="98" t="s">
        <v>12</v>
      </c>
      <c r="E384"/>
      <c r="F384" t="s">
        <v>955</v>
      </c>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customHeight="1">
      <c r="A385" s="98" t="s">
        <v>965</v>
      </c>
      <c r="B385" s="98" t="s">
        <v>976</v>
      </c>
      <c r="C385" s="98" t="s">
        <v>12</v>
      </c>
      <c r="E385"/>
      <c r="F385" t="s">
        <v>956</v>
      </c>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customHeight="1">
      <c r="A386" s="98" t="s">
        <v>965</v>
      </c>
      <c r="B386" s="98" t="s">
        <v>977</v>
      </c>
      <c r="C386" s="98" t="s">
        <v>12</v>
      </c>
      <c r="E386"/>
      <c r="F386" t="s">
        <v>957</v>
      </c>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customHeight="1">
      <c r="A387" s="98" t="s">
        <v>965</v>
      </c>
      <c r="B387" s="98" t="s">
        <v>978</v>
      </c>
      <c r="C387" s="98" t="s">
        <v>12</v>
      </c>
      <c r="E387"/>
      <c r="F387" t="s">
        <v>958</v>
      </c>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customHeight="1">
      <c r="A388" s="98" t="s">
        <v>965</v>
      </c>
      <c r="B388" s="98" t="s">
        <v>979</v>
      </c>
      <c r="C388" s="98" t="s">
        <v>12</v>
      </c>
      <c r="E388"/>
      <c r="F388" t="s">
        <v>959</v>
      </c>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customHeight="1">
      <c r="A389" s="98" t="s">
        <v>965</v>
      </c>
      <c r="B389" s="98" t="s">
        <v>980</v>
      </c>
      <c r="C389" s="98" t="s">
        <v>12</v>
      </c>
      <c r="E389"/>
      <c r="F389" t="s">
        <v>960</v>
      </c>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customHeight="1">
      <c r="A390" s="98" t="s">
        <v>965</v>
      </c>
      <c r="B390" s="98" t="s">
        <v>981</v>
      </c>
      <c r="C390" s="98" t="s">
        <v>12</v>
      </c>
      <c r="E390"/>
      <c r="F390" t="s">
        <v>961</v>
      </c>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customHeight="1">
      <c r="A391" s="98" t="s">
        <v>965</v>
      </c>
      <c r="B391" s="98" t="s">
        <v>982</v>
      </c>
      <c r="C391" s="98" t="s">
        <v>12</v>
      </c>
      <c r="E391"/>
      <c r="F391" t="s">
        <v>962</v>
      </c>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customHeight="1">
      <c r="A392" s="98" t="s">
        <v>965</v>
      </c>
      <c r="B392" s="98" t="s">
        <v>983</v>
      </c>
      <c r="C392" s="98" t="s">
        <v>12</v>
      </c>
      <c r="E392"/>
      <c r="F392" t="s">
        <v>963</v>
      </c>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customHeight="1">
      <c r="A393" s="98" t="s">
        <v>965</v>
      </c>
      <c r="B393" s="98" t="s">
        <v>984</v>
      </c>
      <c r="C393" s="98" t="s">
        <v>12</v>
      </c>
      <c r="E393"/>
      <c r="F393" t="s">
        <v>964</v>
      </c>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customHeight="1">
      <c r="A394" s="98" t="s">
        <v>965</v>
      </c>
      <c r="B394" s="98" t="s">
        <v>985</v>
      </c>
      <c r="C394" s="98" t="s">
        <v>12</v>
      </c>
      <c r="E394" t="s">
        <v>1363</v>
      </c>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customHeight="1">
      <c r="A395" s="98" t="s">
        <v>965</v>
      </c>
      <c r="B395" s="98" t="s">
        <v>986</v>
      </c>
      <c r="C395" s="98" t="s">
        <v>12</v>
      </c>
      <c r="E395" t="s">
        <v>965</v>
      </c>
      <c r="F395" t="s">
        <v>966</v>
      </c>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customHeight="1">
      <c r="A396" s="98" t="s">
        <v>965</v>
      </c>
      <c r="B396" s="98" t="s">
        <v>987</v>
      </c>
      <c r="C396" s="98" t="s">
        <v>12</v>
      </c>
      <c r="E396"/>
      <c r="F396" t="s">
        <v>967</v>
      </c>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customHeight="1">
      <c r="A397" s="98" t="s">
        <v>965</v>
      </c>
      <c r="B397" s="98" t="s">
        <v>988</v>
      </c>
      <c r="C397" s="98" t="s">
        <v>12</v>
      </c>
      <c r="E397"/>
      <c r="F397" t="s">
        <v>968</v>
      </c>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customHeight="1">
      <c r="A398" s="98" t="s">
        <v>965</v>
      </c>
      <c r="B398" s="98" t="s">
        <v>989</v>
      </c>
      <c r="C398" s="98" t="s">
        <v>12</v>
      </c>
      <c r="E398"/>
      <c r="F398" t="s">
        <v>660</v>
      </c>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customHeight="1">
      <c r="A399" s="98" t="s">
        <v>965</v>
      </c>
      <c r="B399" s="98" t="s">
        <v>990</v>
      </c>
      <c r="C399" s="98" t="s">
        <v>12</v>
      </c>
      <c r="E399"/>
      <c r="F399" t="s">
        <v>969</v>
      </c>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customHeight="1">
      <c r="A400" s="98" t="s">
        <v>965</v>
      </c>
      <c r="B400" s="98" t="s">
        <v>991</v>
      </c>
      <c r="C400" s="98" t="s">
        <v>12</v>
      </c>
      <c r="E400"/>
      <c r="F400" t="s">
        <v>970</v>
      </c>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1:38" ht="15.75" customHeight="1">
      <c r="A401" s="98" t="s">
        <v>965</v>
      </c>
      <c r="B401" s="98" t="s">
        <v>992</v>
      </c>
      <c r="C401" s="98" t="s">
        <v>12</v>
      </c>
      <c r="E401"/>
      <c r="F401" t="s">
        <v>971</v>
      </c>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1:38" ht="15.75" customHeight="1">
      <c r="A402" s="98" t="s">
        <v>965</v>
      </c>
      <c r="B402" s="98" t="s">
        <v>993</v>
      </c>
      <c r="C402" s="98" t="s">
        <v>12</v>
      </c>
      <c r="E402"/>
      <c r="F402" t="s">
        <v>972</v>
      </c>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1:38" ht="15.75" customHeight="1">
      <c r="A403" s="98" t="s">
        <v>965</v>
      </c>
      <c r="B403" s="98" t="s">
        <v>994</v>
      </c>
      <c r="C403" s="98" t="s">
        <v>12</v>
      </c>
      <c r="E403"/>
      <c r="F403" t="s">
        <v>973</v>
      </c>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1:38" ht="15.75" customHeight="1">
      <c r="A404" s="98" t="s">
        <v>965</v>
      </c>
      <c r="B404" s="98" t="s">
        <v>995</v>
      </c>
      <c r="C404" s="98" t="s">
        <v>12</v>
      </c>
      <c r="E404"/>
      <c r="F404" t="s">
        <v>974</v>
      </c>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1:38" ht="15.75" customHeight="1">
      <c r="A405" s="98" t="s">
        <v>965</v>
      </c>
      <c r="B405" s="98" t="s">
        <v>996</v>
      </c>
      <c r="C405" s="98" t="s">
        <v>12</v>
      </c>
      <c r="E405"/>
      <c r="F405" t="s">
        <v>975</v>
      </c>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1:38" ht="15.75" customHeight="1">
      <c r="A406" s="98" t="s">
        <v>965</v>
      </c>
      <c r="B406" s="98" t="s">
        <v>997</v>
      </c>
      <c r="C406" s="98" t="s">
        <v>12</v>
      </c>
      <c r="E406"/>
      <c r="F406" t="s">
        <v>976</v>
      </c>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1:38" ht="15.75" customHeight="1">
      <c r="A407" s="98" t="s">
        <v>965</v>
      </c>
      <c r="B407" s="98" t="s">
        <v>998</v>
      </c>
      <c r="C407" s="98" t="s">
        <v>12</v>
      </c>
      <c r="E407"/>
      <c r="F407" t="s">
        <v>977</v>
      </c>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1:38" ht="15.75" customHeight="1">
      <c r="A408" s="98" t="s">
        <v>965</v>
      </c>
      <c r="B408" s="98" t="s">
        <v>999</v>
      </c>
      <c r="C408" s="98" t="s">
        <v>12</v>
      </c>
      <c r="E408"/>
      <c r="F408" t="s">
        <v>978</v>
      </c>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1:38" ht="15.75" customHeight="1">
      <c r="A409" s="98" t="s">
        <v>965</v>
      </c>
      <c r="B409" s="98" t="s">
        <v>1000</v>
      </c>
      <c r="C409" s="98" t="s">
        <v>12</v>
      </c>
      <c r="E409"/>
      <c r="F409" t="s">
        <v>979</v>
      </c>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1:38" ht="15.75" customHeight="1">
      <c r="A410" s="98" t="s">
        <v>1001</v>
      </c>
      <c r="B410" s="98" t="s">
        <v>1002</v>
      </c>
      <c r="C410" s="98" t="s">
        <v>12</v>
      </c>
      <c r="E410"/>
      <c r="F410" t="s">
        <v>980</v>
      </c>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1:38" ht="15.75" customHeight="1">
      <c r="A411" s="98" t="s">
        <v>1001</v>
      </c>
      <c r="B411" s="98" t="s">
        <v>1003</v>
      </c>
      <c r="C411" s="98" t="s">
        <v>12</v>
      </c>
      <c r="E411"/>
      <c r="F411" t="s">
        <v>981</v>
      </c>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1:38" ht="15.75" customHeight="1">
      <c r="A412" s="98" t="s">
        <v>1001</v>
      </c>
      <c r="B412" s="98" t="s">
        <v>1004</v>
      </c>
      <c r="C412" s="98" t="s">
        <v>12</v>
      </c>
      <c r="E412"/>
      <c r="F412" t="s">
        <v>982</v>
      </c>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1:38" ht="15.75" customHeight="1">
      <c r="A413" s="98" t="s">
        <v>1001</v>
      </c>
      <c r="B413" s="98" t="s">
        <v>1005</v>
      </c>
      <c r="C413" s="98" t="s">
        <v>12</v>
      </c>
      <c r="E413"/>
      <c r="F413" t="s">
        <v>983</v>
      </c>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1:38" ht="15.75" customHeight="1">
      <c r="A414" s="98" t="s">
        <v>1001</v>
      </c>
      <c r="B414" s="98" t="s">
        <v>1006</v>
      </c>
      <c r="C414" s="98" t="s">
        <v>12</v>
      </c>
      <c r="E414"/>
      <c r="F414" t="s">
        <v>984</v>
      </c>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1:38" ht="15.75" customHeight="1">
      <c r="A415" s="98" t="s">
        <v>1001</v>
      </c>
      <c r="B415" s="98" t="s">
        <v>1007</v>
      </c>
      <c r="C415" s="98" t="s">
        <v>12</v>
      </c>
      <c r="E415"/>
      <c r="F415" t="s">
        <v>985</v>
      </c>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1:38" ht="15.75" customHeight="1">
      <c r="A416" s="98" t="s">
        <v>1001</v>
      </c>
      <c r="B416" s="98" t="s">
        <v>1008</v>
      </c>
      <c r="C416" s="98" t="s">
        <v>12</v>
      </c>
      <c r="E416"/>
      <c r="F416" t="s">
        <v>986</v>
      </c>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1:38" ht="15.75" customHeight="1">
      <c r="A417" s="98" t="s">
        <v>1001</v>
      </c>
      <c r="B417" s="98" t="s">
        <v>1009</v>
      </c>
      <c r="C417" s="98" t="s">
        <v>12</v>
      </c>
      <c r="E417"/>
      <c r="F417" t="s">
        <v>987</v>
      </c>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1:38" ht="15.75" customHeight="1">
      <c r="A418" s="98" t="s">
        <v>1001</v>
      </c>
      <c r="B418" s="98" t="s">
        <v>1010</v>
      </c>
      <c r="C418" s="98" t="s">
        <v>12</v>
      </c>
      <c r="E418"/>
      <c r="F418" t="s">
        <v>988</v>
      </c>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1:38" ht="15.75" customHeight="1">
      <c r="A419" s="98" t="s">
        <v>1001</v>
      </c>
      <c r="B419" s="98" t="s">
        <v>1011</v>
      </c>
      <c r="C419" s="98" t="s">
        <v>12</v>
      </c>
      <c r="E419"/>
      <c r="F419" t="s">
        <v>989</v>
      </c>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1:38" ht="15.75" customHeight="1">
      <c r="A420" s="98" t="s">
        <v>1001</v>
      </c>
      <c r="B420" s="98" t="s">
        <v>1012</v>
      </c>
      <c r="C420" s="98" t="s">
        <v>12</v>
      </c>
      <c r="E420"/>
      <c r="F420" t="s">
        <v>990</v>
      </c>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1:38" ht="15.75" customHeight="1">
      <c r="A421" s="98" t="s">
        <v>1001</v>
      </c>
      <c r="B421" s="98" t="s">
        <v>1013</v>
      </c>
      <c r="C421" s="98" t="s">
        <v>12</v>
      </c>
      <c r="E421"/>
      <c r="F421" t="s">
        <v>991</v>
      </c>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1:38" ht="15.75" customHeight="1">
      <c r="A422" s="98" t="s">
        <v>1001</v>
      </c>
      <c r="B422" s="98" t="s">
        <v>1014</v>
      </c>
      <c r="C422" s="98" t="s">
        <v>12</v>
      </c>
      <c r="E422"/>
      <c r="F422" t="s">
        <v>992</v>
      </c>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1:38" ht="15.75" customHeight="1">
      <c r="A423" s="98" t="s">
        <v>1001</v>
      </c>
      <c r="B423" s="98" t="s">
        <v>1015</v>
      </c>
      <c r="C423" s="98" t="s">
        <v>12</v>
      </c>
      <c r="E423"/>
      <c r="F423" t="s">
        <v>993</v>
      </c>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1:38" ht="15.75" customHeight="1">
      <c r="A424" s="98" t="s">
        <v>1001</v>
      </c>
      <c r="B424" s="98" t="s">
        <v>1016</v>
      </c>
      <c r="C424" s="98" t="s">
        <v>12</v>
      </c>
      <c r="E424"/>
      <c r="F424" t="s">
        <v>994</v>
      </c>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1:38" ht="15.75" customHeight="1">
      <c r="A425" s="98" t="s">
        <v>1001</v>
      </c>
      <c r="B425" s="98" t="s">
        <v>1017</v>
      </c>
      <c r="C425" s="98" t="s">
        <v>12</v>
      </c>
      <c r="E425"/>
      <c r="F425" t="s">
        <v>995</v>
      </c>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1:38" ht="15.75" customHeight="1">
      <c r="A426" s="98" t="s">
        <v>1018</v>
      </c>
      <c r="B426" s="98" t="s">
        <v>1019</v>
      </c>
      <c r="C426" s="98" t="s">
        <v>12</v>
      </c>
      <c r="E426"/>
      <c r="F426" t="s">
        <v>996</v>
      </c>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1:38" ht="15.75" customHeight="1">
      <c r="A427" s="98" t="s">
        <v>1018</v>
      </c>
      <c r="B427" s="98" t="s">
        <v>1020</v>
      </c>
      <c r="C427" s="98" t="s">
        <v>12</v>
      </c>
      <c r="E427"/>
      <c r="F427" t="s">
        <v>997</v>
      </c>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1:38" ht="15.75" customHeight="1">
      <c r="A428" s="98" t="s">
        <v>1018</v>
      </c>
      <c r="B428" s="98" t="s">
        <v>1021</v>
      </c>
      <c r="C428" s="98" t="s">
        <v>12</v>
      </c>
      <c r="E428"/>
      <c r="F428" t="s">
        <v>998</v>
      </c>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1:38" ht="15.75" customHeight="1">
      <c r="A429" s="98" t="s">
        <v>1018</v>
      </c>
      <c r="B429" s="98" t="s">
        <v>1022</v>
      </c>
      <c r="C429" s="98" t="s">
        <v>12</v>
      </c>
      <c r="E429"/>
      <c r="F429" t="s">
        <v>999</v>
      </c>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1:38" ht="15.75" customHeight="1">
      <c r="A430" s="98" t="s">
        <v>1018</v>
      </c>
      <c r="B430" s="98" t="s">
        <v>1023</v>
      </c>
      <c r="C430" s="98" t="s">
        <v>12</v>
      </c>
      <c r="E430"/>
      <c r="F430" t="s">
        <v>1000</v>
      </c>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1:38" ht="15.75" customHeight="1">
      <c r="A431" s="98" t="s">
        <v>1018</v>
      </c>
      <c r="B431" s="98" t="s">
        <v>1024</v>
      </c>
      <c r="C431" s="98" t="s">
        <v>12</v>
      </c>
      <c r="E431" t="s">
        <v>1364</v>
      </c>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1:38" ht="15.75" customHeight="1">
      <c r="A432" s="98" t="s">
        <v>1018</v>
      </c>
      <c r="B432" s="98" t="s">
        <v>1025</v>
      </c>
      <c r="C432" s="98" t="s">
        <v>12</v>
      </c>
      <c r="E432" t="s">
        <v>1001</v>
      </c>
      <c r="F432" t="s">
        <v>1002</v>
      </c>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1:38" ht="15.75" customHeight="1">
      <c r="A433" s="98" t="s">
        <v>1018</v>
      </c>
      <c r="B433" s="98" t="s">
        <v>1026</v>
      </c>
      <c r="C433" s="98" t="s">
        <v>12</v>
      </c>
      <c r="E433"/>
      <c r="F433" t="s">
        <v>1003</v>
      </c>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1:38" ht="15.75" customHeight="1">
      <c r="A434" s="98" t="s">
        <v>1018</v>
      </c>
      <c r="B434" s="98" t="s">
        <v>1027</v>
      </c>
      <c r="C434" s="98" t="s">
        <v>12</v>
      </c>
      <c r="E434"/>
      <c r="F434" t="s">
        <v>1004</v>
      </c>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1:38" ht="15.75" customHeight="1">
      <c r="A435" s="98" t="s">
        <v>1018</v>
      </c>
      <c r="B435" s="98" t="s">
        <v>1028</v>
      </c>
      <c r="C435" s="98" t="s">
        <v>12</v>
      </c>
      <c r="E435"/>
      <c r="F435" t="s">
        <v>1005</v>
      </c>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1:38" ht="15.75" customHeight="1">
      <c r="A436" s="98" t="s">
        <v>1018</v>
      </c>
      <c r="B436" s="98" t="s">
        <v>1029</v>
      </c>
      <c r="C436" s="98" t="s">
        <v>12</v>
      </c>
      <c r="E436"/>
      <c r="F436" t="s">
        <v>1006</v>
      </c>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1:38" ht="15.75" customHeight="1">
      <c r="A437" s="98" t="s">
        <v>1030</v>
      </c>
      <c r="B437" s="98" t="s">
        <v>1031</v>
      </c>
      <c r="C437" s="98" t="s">
        <v>12</v>
      </c>
      <c r="E437"/>
      <c r="F437" t="s">
        <v>1007</v>
      </c>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1:38" ht="15.75" customHeight="1">
      <c r="A438" s="98" t="s">
        <v>1030</v>
      </c>
      <c r="B438" s="98" t="s">
        <v>1032</v>
      </c>
      <c r="C438" s="98" t="s">
        <v>12</v>
      </c>
      <c r="E438"/>
      <c r="F438" t="s">
        <v>1008</v>
      </c>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1:38" ht="15.75" customHeight="1">
      <c r="A439" s="98" t="s">
        <v>1030</v>
      </c>
      <c r="B439" s="98" t="s">
        <v>1033</v>
      </c>
      <c r="C439" s="98" t="s">
        <v>12</v>
      </c>
      <c r="E439"/>
      <c r="F439" t="s">
        <v>1009</v>
      </c>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1:38" ht="15.75" customHeight="1">
      <c r="A440" s="98" t="s">
        <v>1030</v>
      </c>
      <c r="B440" s="98" t="s">
        <v>1034</v>
      </c>
      <c r="C440" s="98" t="s">
        <v>12</v>
      </c>
      <c r="E440"/>
      <c r="F440" t="s">
        <v>1010</v>
      </c>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1:38" ht="15.75" customHeight="1">
      <c r="A441" s="98" t="s">
        <v>1030</v>
      </c>
      <c r="B441" s="98" t="s">
        <v>1035</v>
      </c>
      <c r="C441" s="98" t="s">
        <v>12</v>
      </c>
      <c r="E441"/>
      <c r="F441" t="s">
        <v>1011</v>
      </c>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1:38" ht="15.75" customHeight="1">
      <c r="A442" s="98" t="s">
        <v>1030</v>
      </c>
      <c r="B442" s="98" t="s">
        <v>1036</v>
      </c>
      <c r="C442" s="98" t="s">
        <v>12</v>
      </c>
      <c r="E442"/>
      <c r="F442" t="s">
        <v>1012</v>
      </c>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1:38" ht="15.75" customHeight="1">
      <c r="A443" s="98" t="s">
        <v>1030</v>
      </c>
      <c r="B443" s="98" t="s">
        <v>1037</v>
      </c>
      <c r="C443" s="98" t="s">
        <v>12</v>
      </c>
      <c r="E443"/>
      <c r="F443" t="s">
        <v>1013</v>
      </c>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1:38" ht="15.75" customHeight="1">
      <c r="A444" s="98" t="s">
        <v>1030</v>
      </c>
      <c r="B444" s="98" t="s">
        <v>1038</v>
      </c>
      <c r="C444" s="98" t="s">
        <v>12</v>
      </c>
      <c r="E444"/>
      <c r="F444" t="s">
        <v>1014</v>
      </c>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1:38" ht="15.75" customHeight="1">
      <c r="A445" s="98" t="s">
        <v>1039</v>
      </c>
      <c r="B445" s="98" t="s">
        <v>1040</v>
      </c>
      <c r="C445" s="98" t="s">
        <v>12</v>
      </c>
      <c r="E445"/>
      <c r="F445" t="s">
        <v>1015</v>
      </c>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1:38" ht="15.75" customHeight="1">
      <c r="A446" s="98" t="s">
        <v>1039</v>
      </c>
      <c r="B446" s="98" t="s">
        <v>1041</v>
      </c>
      <c r="C446" s="98" t="s">
        <v>12</v>
      </c>
      <c r="E446"/>
      <c r="F446" t="s">
        <v>1016</v>
      </c>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1:38" ht="15.75" customHeight="1">
      <c r="A447" s="98" t="s">
        <v>1039</v>
      </c>
      <c r="B447" s="98" t="s">
        <v>1042</v>
      </c>
      <c r="C447" s="98" t="s">
        <v>12</v>
      </c>
      <c r="E447"/>
      <c r="F447" t="s">
        <v>1017</v>
      </c>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1:38" ht="15.75" customHeight="1">
      <c r="A448" s="98" t="s">
        <v>1039</v>
      </c>
      <c r="B448" s="98" t="s">
        <v>1043</v>
      </c>
      <c r="C448" s="98" t="s">
        <v>12</v>
      </c>
      <c r="E448" t="s">
        <v>1365</v>
      </c>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1:38" ht="15.75" customHeight="1">
      <c r="A449" s="98" t="s">
        <v>1039</v>
      </c>
      <c r="B449" s="98" t="s">
        <v>1044</v>
      </c>
      <c r="C449" s="98" t="s">
        <v>12</v>
      </c>
      <c r="E449" t="s">
        <v>1018</v>
      </c>
      <c r="F449" t="s">
        <v>1019</v>
      </c>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1:38" ht="15.75" customHeight="1">
      <c r="A450" s="98" t="s">
        <v>1039</v>
      </c>
      <c r="B450" s="98" t="s">
        <v>1045</v>
      </c>
      <c r="C450" s="98" t="s">
        <v>12</v>
      </c>
      <c r="E450"/>
      <c r="F450" t="s">
        <v>1020</v>
      </c>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1:38" ht="15.75" customHeight="1">
      <c r="A451" s="98" t="s">
        <v>1039</v>
      </c>
      <c r="B451" s="98" t="s">
        <v>1046</v>
      </c>
      <c r="C451" s="98" t="s">
        <v>12</v>
      </c>
      <c r="E451"/>
      <c r="F451" t="s">
        <v>1021</v>
      </c>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1:38" ht="15.75" customHeight="1">
      <c r="A452" s="98" t="s">
        <v>1039</v>
      </c>
      <c r="B452" s="98" t="s">
        <v>1047</v>
      </c>
      <c r="C452" s="98" t="s">
        <v>12</v>
      </c>
      <c r="E452"/>
      <c r="F452" t="s">
        <v>1022</v>
      </c>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1:38" ht="15.75" customHeight="1">
      <c r="A453" s="98" t="s">
        <v>1039</v>
      </c>
      <c r="B453" s="98" t="s">
        <v>1048</v>
      </c>
      <c r="C453" s="98" t="s">
        <v>12</v>
      </c>
      <c r="E453"/>
      <c r="F453" t="s">
        <v>1023</v>
      </c>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1:38" ht="15.75" customHeight="1">
      <c r="A454" s="98" t="s">
        <v>1039</v>
      </c>
      <c r="B454" s="98" t="s">
        <v>1049</v>
      </c>
      <c r="C454" s="98" t="s">
        <v>12</v>
      </c>
      <c r="E454"/>
      <c r="F454" t="s">
        <v>1024</v>
      </c>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1:38" ht="15.75" customHeight="1">
      <c r="A455" s="98" t="s">
        <v>1039</v>
      </c>
      <c r="B455" s="98" t="s">
        <v>1050</v>
      </c>
      <c r="C455" s="98" t="s">
        <v>12</v>
      </c>
      <c r="E455"/>
      <c r="F455" t="s">
        <v>1025</v>
      </c>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1:38" ht="15.75" customHeight="1">
      <c r="A456" s="98" t="s">
        <v>1039</v>
      </c>
      <c r="B456" s="98" t="s">
        <v>1051</v>
      </c>
      <c r="C456" s="98" t="s">
        <v>12</v>
      </c>
      <c r="E456"/>
      <c r="F456" t="s">
        <v>1026</v>
      </c>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1:38" ht="15.75" customHeight="1">
      <c r="A457" s="98" t="s">
        <v>1052</v>
      </c>
      <c r="B457" s="98" t="s">
        <v>1053</v>
      </c>
      <c r="C457" s="98" t="s">
        <v>12</v>
      </c>
      <c r="E457"/>
      <c r="F457" t="s">
        <v>1027</v>
      </c>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1:38" ht="15.75" customHeight="1">
      <c r="A458" s="98" t="s">
        <v>1052</v>
      </c>
      <c r="B458" s="98" t="s">
        <v>1054</v>
      </c>
      <c r="C458" s="98" t="s">
        <v>12</v>
      </c>
      <c r="E458"/>
      <c r="F458" t="s">
        <v>1028</v>
      </c>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1:38" ht="15.75" customHeight="1">
      <c r="A459" s="98" t="s">
        <v>1052</v>
      </c>
      <c r="B459" s="98" t="s">
        <v>1055</v>
      </c>
      <c r="C459" s="98" t="s">
        <v>12</v>
      </c>
      <c r="E459"/>
      <c r="F459" t="s">
        <v>1029</v>
      </c>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1:38" ht="15.75" customHeight="1">
      <c r="A460" s="98" t="s">
        <v>1052</v>
      </c>
      <c r="B460" s="98" t="s">
        <v>1056</v>
      </c>
      <c r="C460" s="98" t="s">
        <v>12</v>
      </c>
      <c r="E460" t="s">
        <v>1366</v>
      </c>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1:38" ht="15.75" customHeight="1">
      <c r="A461" s="98" t="s">
        <v>1052</v>
      </c>
      <c r="B461" s="98" t="s">
        <v>1057</v>
      </c>
      <c r="C461" s="98" t="s">
        <v>12</v>
      </c>
      <c r="E461" t="s">
        <v>1030</v>
      </c>
      <c r="F461" t="s">
        <v>1031</v>
      </c>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1:38" ht="15.75" customHeight="1">
      <c r="A462" s="98" t="s">
        <v>1052</v>
      </c>
      <c r="B462" s="98" t="s">
        <v>1058</v>
      </c>
      <c r="C462" s="98" t="s">
        <v>12</v>
      </c>
      <c r="E462"/>
      <c r="F462" t="s">
        <v>1032</v>
      </c>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1:38" ht="15.75" customHeight="1">
      <c r="A463" s="98" t="s">
        <v>1052</v>
      </c>
      <c r="B463" s="98" t="s">
        <v>1059</v>
      </c>
      <c r="C463" s="98" t="s">
        <v>12</v>
      </c>
      <c r="E463"/>
      <c r="F463" t="s">
        <v>1033</v>
      </c>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1:38" ht="15.75" customHeight="1">
      <c r="A464" s="98" t="s">
        <v>1052</v>
      </c>
      <c r="B464" s="98" t="s">
        <v>1060</v>
      </c>
      <c r="C464" s="98" t="s">
        <v>12</v>
      </c>
      <c r="E464"/>
      <c r="F464" t="s">
        <v>1034</v>
      </c>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1:38" ht="15.75" customHeight="1">
      <c r="A465" s="98" t="s">
        <v>1052</v>
      </c>
      <c r="B465" s="98" t="s">
        <v>1061</v>
      </c>
      <c r="C465" s="98" t="s">
        <v>12</v>
      </c>
      <c r="E465"/>
      <c r="F465" t="s">
        <v>1035</v>
      </c>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1:38" ht="15.75" customHeight="1">
      <c r="A466" s="98" t="s">
        <v>1052</v>
      </c>
      <c r="B466" s="98" t="s">
        <v>1062</v>
      </c>
      <c r="C466" s="98" t="s">
        <v>12</v>
      </c>
      <c r="E466"/>
      <c r="F466" t="s">
        <v>1036</v>
      </c>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1:38" ht="15.75" customHeight="1">
      <c r="A467" s="98" t="s">
        <v>1052</v>
      </c>
      <c r="B467" s="98" t="s">
        <v>1063</v>
      </c>
      <c r="C467" s="98" t="s">
        <v>12</v>
      </c>
      <c r="E467"/>
      <c r="F467" t="s">
        <v>1037</v>
      </c>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1:38" ht="15.75" customHeight="1">
      <c r="A468" s="98" t="s">
        <v>1052</v>
      </c>
      <c r="B468" s="98" t="s">
        <v>1064</v>
      </c>
      <c r="C468" s="98" t="s">
        <v>12</v>
      </c>
      <c r="E468"/>
      <c r="F468" t="s">
        <v>1038</v>
      </c>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1:38" ht="15.75" customHeight="1">
      <c r="A469" s="98" t="s">
        <v>1052</v>
      </c>
      <c r="B469" s="98" t="s">
        <v>1065</v>
      </c>
      <c r="C469" s="98" t="s">
        <v>12</v>
      </c>
      <c r="E469" t="s">
        <v>1367</v>
      </c>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1:38" ht="15.75" customHeight="1">
      <c r="A470" s="98" t="s">
        <v>1052</v>
      </c>
      <c r="B470" s="98" t="s">
        <v>1066</v>
      </c>
      <c r="C470" s="98" t="s">
        <v>12</v>
      </c>
      <c r="E470" t="s">
        <v>1039</v>
      </c>
      <c r="F470" t="s">
        <v>1045</v>
      </c>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1:38" ht="15.75" customHeight="1">
      <c r="A471" s="98" t="s">
        <v>1052</v>
      </c>
      <c r="B471" s="98" t="s">
        <v>1067</v>
      </c>
      <c r="C471" s="98" t="s">
        <v>12</v>
      </c>
      <c r="E471"/>
      <c r="F471" t="s">
        <v>1040</v>
      </c>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1:38" ht="15.75" customHeight="1">
      <c r="A472" s="98" t="s">
        <v>1052</v>
      </c>
      <c r="B472" s="98" t="s">
        <v>1068</v>
      </c>
      <c r="C472" s="98" t="s">
        <v>12</v>
      </c>
      <c r="E472"/>
      <c r="F472" t="s">
        <v>1041</v>
      </c>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1:38" ht="15.75" customHeight="1">
      <c r="A473" s="98" t="s">
        <v>1052</v>
      </c>
      <c r="B473" s="98" t="s">
        <v>1069</v>
      </c>
      <c r="C473" s="98" t="s">
        <v>12</v>
      </c>
      <c r="E473"/>
      <c r="F473" t="s">
        <v>1042</v>
      </c>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1:38" ht="15.75" customHeight="1">
      <c r="A474" s="98" t="s">
        <v>1052</v>
      </c>
      <c r="B474" s="98" t="s">
        <v>1070</v>
      </c>
      <c r="C474" s="98" t="s">
        <v>12</v>
      </c>
      <c r="E474"/>
      <c r="F474" t="s">
        <v>1043</v>
      </c>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1:38" ht="15.75" customHeight="1">
      <c r="A475" s="98" t="s">
        <v>1052</v>
      </c>
      <c r="B475" s="98" t="s">
        <v>1071</v>
      </c>
      <c r="C475" s="98" t="s">
        <v>12</v>
      </c>
      <c r="E475"/>
      <c r="F475" t="s">
        <v>1044</v>
      </c>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1:38" ht="15.75" customHeight="1">
      <c r="A476" s="98" t="s">
        <v>1052</v>
      </c>
      <c r="B476" s="98" t="s">
        <v>1072</v>
      </c>
      <c r="C476" s="98" t="s">
        <v>12</v>
      </c>
      <c r="E476"/>
      <c r="F476" t="s">
        <v>1046</v>
      </c>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1:38" ht="15.75" customHeight="1">
      <c r="A477" s="98" t="s">
        <v>1052</v>
      </c>
      <c r="B477" s="98" t="s">
        <v>1073</v>
      </c>
      <c r="C477" s="98" t="s">
        <v>12</v>
      </c>
      <c r="E477"/>
      <c r="F477" t="s">
        <v>1047</v>
      </c>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1:38" ht="15.75" customHeight="1">
      <c r="A478" s="98" t="s">
        <v>1052</v>
      </c>
      <c r="B478" s="98" t="s">
        <v>1074</v>
      </c>
      <c r="C478" s="98" t="s">
        <v>12</v>
      </c>
      <c r="E478"/>
      <c r="F478" t="s">
        <v>1048</v>
      </c>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1:38" ht="15.75" customHeight="1">
      <c r="A479" s="98" t="s">
        <v>1052</v>
      </c>
      <c r="B479" s="98" t="s">
        <v>1075</v>
      </c>
      <c r="C479" s="98" t="s">
        <v>12</v>
      </c>
      <c r="E479"/>
      <c r="F479" t="s">
        <v>1049</v>
      </c>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1:38" ht="15.75" customHeight="1">
      <c r="A480" s="98" t="s">
        <v>1052</v>
      </c>
      <c r="B480" s="98" t="s">
        <v>1076</v>
      </c>
      <c r="C480" s="98" t="s">
        <v>12</v>
      </c>
      <c r="E480"/>
      <c r="F480" t="s">
        <v>1050</v>
      </c>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1:38" ht="15.75" customHeight="1">
      <c r="A481" s="98" t="s">
        <v>1052</v>
      </c>
      <c r="B481" s="98" t="s">
        <v>1077</v>
      </c>
      <c r="C481" s="98" t="s">
        <v>12</v>
      </c>
      <c r="E481"/>
      <c r="F481" t="s">
        <v>1051</v>
      </c>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1:38" ht="15.75" customHeight="1">
      <c r="A482" s="98" t="s">
        <v>1052</v>
      </c>
      <c r="B482" s="98" t="s">
        <v>1078</v>
      </c>
      <c r="C482" s="98" t="s">
        <v>12</v>
      </c>
      <c r="E482" t="s">
        <v>1368</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1:38" ht="15.75" customHeight="1">
      <c r="A483" s="98" t="s">
        <v>1052</v>
      </c>
      <c r="B483" s="98" t="s">
        <v>1079</v>
      </c>
      <c r="C483" s="98" t="s">
        <v>12</v>
      </c>
      <c r="E483" t="s">
        <v>1052</v>
      </c>
      <c r="F483" t="s">
        <v>1053</v>
      </c>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1:38" ht="15.75" customHeight="1">
      <c r="A484" s="98" t="s">
        <v>1052</v>
      </c>
      <c r="B484" s="98" t="s">
        <v>1080</v>
      </c>
      <c r="C484" s="98" t="s">
        <v>12</v>
      </c>
      <c r="E484"/>
      <c r="F484" t="s">
        <v>1054</v>
      </c>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1:38" ht="15.75" customHeight="1">
      <c r="A485" s="98" t="s">
        <v>1052</v>
      </c>
      <c r="B485" s="98" t="s">
        <v>1081</v>
      </c>
      <c r="C485" s="98" t="s">
        <v>12</v>
      </c>
      <c r="E485"/>
      <c r="F485" t="s">
        <v>1055</v>
      </c>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1:38" ht="15.75" customHeight="1">
      <c r="A486" s="98" t="s">
        <v>1052</v>
      </c>
      <c r="B486" s="98" t="s">
        <v>1082</v>
      </c>
      <c r="C486" s="98" t="s">
        <v>12</v>
      </c>
      <c r="E486"/>
      <c r="F486" t="s">
        <v>1056</v>
      </c>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1:38" ht="15.75" customHeight="1">
      <c r="A487" s="98" t="s">
        <v>1083</v>
      </c>
      <c r="B487" s="98" t="s">
        <v>1084</v>
      </c>
      <c r="C487" s="98" t="s">
        <v>580</v>
      </c>
      <c r="E487"/>
      <c r="F487" t="s">
        <v>1057</v>
      </c>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1:38" ht="15.75" customHeight="1">
      <c r="A488" s="98" t="s">
        <v>1083</v>
      </c>
      <c r="B488" s="98" t="s">
        <v>1085</v>
      </c>
      <c r="C488" s="98" t="s">
        <v>580</v>
      </c>
      <c r="E488"/>
      <c r="F488" t="s">
        <v>1058</v>
      </c>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1:38" ht="15.75" customHeight="1">
      <c r="A489" s="98" t="s">
        <v>1083</v>
      </c>
      <c r="B489" s="98" t="s">
        <v>1083</v>
      </c>
      <c r="C489" s="98" t="s">
        <v>580</v>
      </c>
      <c r="E489"/>
      <c r="F489" t="s">
        <v>1059</v>
      </c>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1:38" ht="15.75" customHeight="1">
      <c r="A490" s="98" t="s">
        <v>1083</v>
      </c>
      <c r="B490" s="98" t="s">
        <v>1086</v>
      </c>
      <c r="C490" s="98" t="s">
        <v>580</v>
      </c>
      <c r="E490"/>
      <c r="F490" t="s">
        <v>1060</v>
      </c>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1:38" ht="15.75" customHeight="1">
      <c r="A491" s="98" t="s">
        <v>1087</v>
      </c>
      <c r="B491" s="98" t="s">
        <v>1088</v>
      </c>
      <c r="C491" s="98" t="s">
        <v>12</v>
      </c>
      <c r="E491"/>
      <c r="F491" t="s">
        <v>1061</v>
      </c>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1:38" ht="15.75" customHeight="1">
      <c r="A492" s="98" t="s">
        <v>1087</v>
      </c>
      <c r="B492" s="98" t="s">
        <v>1089</v>
      </c>
      <c r="C492" s="98" t="s">
        <v>12</v>
      </c>
      <c r="E492"/>
      <c r="F492" t="s">
        <v>1062</v>
      </c>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1:38" ht="15.75" customHeight="1">
      <c r="A493" s="98" t="s">
        <v>1087</v>
      </c>
      <c r="B493" s="98" t="s">
        <v>1090</v>
      </c>
      <c r="C493" s="98" t="s">
        <v>12</v>
      </c>
      <c r="E493"/>
      <c r="F493" t="s">
        <v>1063</v>
      </c>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1:38" ht="15.75" customHeight="1">
      <c r="A494" s="98" t="s">
        <v>1087</v>
      </c>
      <c r="B494" s="98" t="s">
        <v>1091</v>
      </c>
      <c r="C494" s="98" t="s">
        <v>12</v>
      </c>
      <c r="E494"/>
      <c r="F494" t="s">
        <v>1064</v>
      </c>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1:38" ht="15.75" customHeight="1">
      <c r="A495" s="98" t="s">
        <v>1087</v>
      </c>
      <c r="B495" s="98" t="s">
        <v>1092</v>
      </c>
      <c r="C495" s="98" t="s">
        <v>12</v>
      </c>
      <c r="E495"/>
      <c r="F495" t="s">
        <v>1065</v>
      </c>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1:38" ht="15.75" customHeight="1">
      <c r="A496" s="98" t="s">
        <v>1087</v>
      </c>
      <c r="B496" s="98" t="s">
        <v>1093</v>
      </c>
      <c r="C496" s="98" t="s">
        <v>12</v>
      </c>
      <c r="E496"/>
      <c r="F496" t="s">
        <v>1066</v>
      </c>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1:38" ht="15.75" customHeight="1">
      <c r="A497" s="98" t="s">
        <v>1087</v>
      </c>
      <c r="B497" s="98" t="s">
        <v>1094</v>
      </c>
      <c r="C497" s="98" t="s">
        <v>12</v>
      </c>
      <c r="E497"/>
      <c r="F497" t="s">
        <v>1067</v>
      </c>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1:38" ht="15.75" customHeight="1">
      <c r="A498" s="98" t="s">
        <v>1087</v>
      </c>
      <c r="B498" s="98" t="s">
        <v>1095</v>
      </c>
      <c r="C498" s="98" t="s">
        <v>12</v>
      </c>
      <c r="E498"/>
      <c r="F498" t="s">
        <v>1068</v>
      </c>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1:38" ht="15.75" customHeight="1">
      <c r="A499" s="98" t="s">
        <v>1087</v>
      </c>
      <c r="B499" s="98" t="s">
        <v>1096</v>
      </c>
      <c r="C499" s="98" t="s">
        <v>12</v>
      </c>
      <c r="E499"/>
      <c r="F499" t="s">
        <v>1069</v>
      </c>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1:38" ht="15.75" customHeight="1">
      <c r="A500" s="98" t="s">
        <v>1087</v>
      </c>
      <c r="B500" s="98" t="s">
        <v>1097</v>
      </c>
      <c r="C500" s="98" t="s">
        <v>12</v>
      </c>
      <c r="E500"/>
      <c r="F500" t="s">
        <v>1070</v>
      </c>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1:38" ht="15.75" customHeight="1">
      <c r="A501" s="98" t="s">
        <v>1087</v>
      </c>
      <c r="B501" s="98" t="s">
        <v>1098</v>
      </c>
      <c r="C501" s="98" t="s">
        <v>12</v>
      </c>
      <c r="E501"/>
      <c r="F501" t="s">
        <v>1071</v>
      </c>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1:38" ht="15.75" customHeight="1">
      <c r="A502" s="98" t="s">
        <v>1087</v>
      </c>
      <c r="B502" s="98" t="s">
        <v>1099</v>
      </c>
      <c r="C502" s="98" t="s">
        <v>12</v>
      </c>
      <c r="E502"/>
      <c r="F502" t="s">
        <v>1072</v>
      </c>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1:38" ht="15.75" customHeight="1">
      <c r="A503" s="98" t="s">
        <v>1087</v>
      </c>
      <c r="B503" s="98" t="s">
        <v>1100</v>
      </c>
      <c r="C503" s="98" t="s">
        <v>12</v>
      </c>
      <c r="E503"/>
      <c r="F503" t="s">
        <v>1073</v>
      </c>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1:38" ht="15.75" customHeight="1">
      <c r="A504" s="98" t="s">
        <v>1087</v>
      </c>
      <c r="B504" s="98" t="s">
        <v>1101</v>
      </c>
      <c r="C504" s="98" t="s">
        <v>12</v>
      </c>
      <c r="E504"/>
      <c r="F504" t="s">
        <v>1074</v>
      </c>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1:38" ht="15.75" customHeight="1">
      <c r="A505" s="98" t="s">
        <v>1087</v>
      </c>
      <c r="B505" s="98" t="s">
        <v>1102</v>
      </c>
      <c r="C505" s="98" t="s">
        <v>12</v>
      </c>
      <c r="E505"/>
      <c r="F505" t="s">
        <v>1075</v>
      </c>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1:38" ht="15.75" customHeight="1">
      <c r="A506" s="98" t="s">
        <v>1087</v>
      </c>
      <c r="B506" s="98" t="s">
        <v>1103</v>
      </c>
      <c r="C506" s="98" t="s">
        <v>12</v>
      </c>
      <c r="E506"/>
      <c r="F506" t="s">
        <v>1076</v>
      </c>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1:38" ht="15.75" customHeight="1">
      <c r="A507" s="98" t="s">
        <v>1087</v>
      </c>
      <c r="B507" s="98" t="s">
        <v>1104</v>
      </c>
      <c r="C507" s="98" t="s">
        <v>12</v>
      </c>
      <c r="E507"/>
      <c r="F507" t="s">
        <v>1077</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ht="15.75" customHeight="1">
      <c r="A508" s="98" t="s">
        <v>1087</v>
      </c>
      <c r="B508" s="98" t="s">
        <v>1105</v>
      </c>
      <c r="C508" s="98" t="s">
        <v>12</v>
      </c>
      <c r="E508"/>
      <c r="F508" t="s">
        <v>1078</v>
      </c>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1:38" ht="15.75" customHeight="1">
      <c r="A509" s="98" t="s">
        <v>1087</v>
      </c>
      <c r="B509" s="98" t="s">
        <v>1106</v>
      </c>
      <c r="C509" s="98" t="s">
        <v>12</v>
      </c>
      <c r="E509"/>
      <c r="F509" t="s">
        <v>1079</v>
      </c>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1:38" ht="15.75" customHeight="1">
      <c r="A510" s="98" t="s">
        <v>1087</v>
      </c>
      <c r="B510" s="98" t="s">
        <v>1107</v>
      </c>
      <c r="C510" s="98" t="s">
        <v>12</v>
      </c>
      <c r="E510"/>
      <c r="F510" t="s">
        <v>1080</v>
      </c>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1:38" ht="15.75" customHeight="1">
      <c r="A511" s="98" t="s">
        <v>1087</v>
      </c>
      <c r="B511" s="98" t="s">
        <v>1108</v>
      </c>
      <c r="C511" s="98" t="s">
        <v>12</v>
      </c>
      <c r="E511"/>
      <c r="F511" t="s">
        <v>1081</v>
      </c>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1:38" ht="15.75" customHeight="1">
      <c r="A512" s="98" t="s">
        <v>1087</v>
      </c>
      <c r="B512" s="98" t="s">
        <v>1109</v>
      </c>
      <c r="C512" s="98" t="s">
        <v>12</v>
      </c>
      <c r="E512"/>
      <c r="F512" t="s">
        <v>1082</v>
      </c>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1:38" ht="15.75" customHeight="1">
      <c r="A513" s="98" t="s">
        <v>1110</v>
      </c>
      <c r="B513" s="98" t="s">
        <v>1111</v>
      </c>
      <c r="C513" s="98" t="s">
        <v>12</v>
      </c>
      <c r="E513" t="s">
        <v>1369</v>
      </c>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1:38" ht="15.75" customHeight="1">
      <c r="A514" s="98" t="s">
        <v>1110</v>
      </c>
      <c r="B514" s="98" t="s">
        <v>1112</v>
      </c>
      <c r="C514" s="98" t="s">
        <v>12</v>
      </c>
      <c r="E514" t="s">
        <v>1083</v>
      </c>
      <c r="F514" t="s">
        <v>1084</v>
      </c>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1:38" ht="15.75" customHeight="1">
      <c r="A515" s="98" t="s">
        <v>1110</v>
      </c>
      <c r="B515" s="98" t="s">
        <v>1113</v>
      </c>
      <c r="C515" s="98" t="s">
        <v>12</v>
      </c>
      <c r="E515"/>
      <c r="F515" t="s">
        <v>1085</v>
      </c>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1:38" ht="15.75" customHeight="1">
      <c r="A516" s="98" t="s">
        <v>1110</v>
      </c>
      <c r="B516" s="98" t="s">
        <v>1114</v>
      </c>
      <c r="C516" s="98" t="s">
        <v>12</v>
      </c>
      <c r="E516"/>
      <c r="F516" t="s">
        <v>1083</v>
      </c>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1:38" ht="15.75" customHeight="1">
      <c r="A517" s="98" t="s">
        <v>1110</v>
      </c>
      <c r="B517" s="98" t="s">
        <v>1115</v>
      </c>
      <c r="C517" s="98" t="s">
        <v>12</v>
      </c>
      <c r="E517"/>
      <c r="F517" t="s">
        <v>1086</v>
      </c>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1:38" ht="15.75" customHeight="1">
      <c r="A518" s="98" t="s">
        <v>1110</v>
      </c>
      <c r="B518" s="98" t="s">
        <v>1116</v>
      </c>
      <c r="C518" s="98" t="s">
        <v>12</v>
      </c>
      <c r="E518" t="s">
        <v>1370</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1:38" ht="15.75" customHeight="1">
      <c r="A519" s="98" t="s">
        <v>1110</v>
      </c>
      <c r="B519" s="98" t="s">
        <v>1117</v>
      </c>
      <c r="C519" s="98" t="s">
        <v>12</v>
      </c>
      <c r="E519" t="s">
        <v>1087</v>
      </c>
      <c r="F519" t="s">
        <v>1088</v>
      </c>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1:38" ht="15.75" customHeight="1">
      <c r="A520" s="98" t="s">
        <v>1110</v>
      </c>
      <c r="B520" s="98" t="s">
        <v>1118</v>
      </c>
      <c r="C520" s="98" t="s">
        <v>12</v>
      </c>
      <c r="E520"/>
      <c r="F520" t="s">
        <v>1089</v>
      </c>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1:38" ht="15.75" customHeight="1">
      <c r="A521" s="98" t="s">
        <v>1110</v>
      </c>
      <c r="B521" s="98" t="s">
        <v>1119</v>
      </c>
      <c r="C521" s="98" t="s">
        <v>12</v>
      </c>
      <c r="E521"/>
      <c r="F521" t="s">
        <v>1090</v>
      </c>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1:38" ht="15.75" customHeight="1">
      <c r="A522" s="98" t="s">
        <v>1110</v>
      </c>
      <c r="B522" s="98" t="s">
        <v>1120</v>
      </c>
      <c r="C522" s="98" t="s">
        <v>12</v>
      </c>
      <c r="E522"/>
      <c r="F522" t="s">
        <v>1091</v>
      </c>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1:38" ht="15.75" customHeight="1">
      <c r="A523" s="98" t="s">
        <v>1110</v>
      </c>
      <c r="B523" s="98" t="s">
        <v>1121</v>
      </c>
      <c r="C523" s="98" t="s">
        <v>12</v>
      </c>
      <c r="E523"/>
      <c r="F523" t="s">
        <v>1092</v>
      </c>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1:38" ht="15.75" customHeight="1">
      <c r="A524" s="98" t="s">
        <v>1110</v>
      </c>
      <c r="B524" s="98" t="s">
        <v>1122</v>
      </c>
      <c r="C524" s="98" t="s">
        <v>12</v>
      </c>
      <c r="E524"/>
      <c r="F524" t="s">
        <v>1093</v>
      </c>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1:38" ht="15.75" customHeight="1">
      <c r="A525" s="98" t="s">
        <v>1110</v>
      </c>
      <c r="B525" s="98" t="s">
        <v>1123</v>
      </c>
      <c r="C525" s="98" t="s">
        <v>12</v>
      </c>
      <c r="E525"/>
      <c r="F525" t="s">
        <v>1094</v>
      </c>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1:38" ht="15.75" customHeight="1">
      <c r="A526" s="98" t="s">
        <v>1110</v>
      </c>
      <c r="B526" s="98" t="s">
        <v>1124</v>
      </c>
      <c r="C526" s="98" t="s">
        <v>12</v>
      </c>
      <c r="E526"/>
      <c r="F526" t="s">
        <v>1095</v>
      </c>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1:38" ht="15.75" customHeight="1">
      <c r="A527" s="98" t="s">
        <v>1110</v>
      </c>
      <c r="B527" s="98" t="s">
        <v>1125</v>
      </c>
      <c r="C527" s="98" t="s">
        <v>12</v>
      </c>
      <c r="E527"/>
      <c r="F527" t="s">
        <v>1096</v>
      </c>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1:38" ht="15.75" customHeight="1">
      <c r="A528" s="98" t="s">
        <v>1110</v>
      </c>
      <c r="B528" s="98" t="s">
        <v>1126</v>
      </c>
      <c r="C528" s="98" t="s">
        <v>12</v>
      </c>
      <c r="E528"/>
      <c r="F528" t="s">
        <v>1097</v>
      </c>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1:38" ht="15.75" customHeight="1">
      <c r="A529" s="98" t="s">
        <v>1110</v>
      </c>
      <c r="B529" s="98" t="s">
        <v>1127</v>
      </c>
      <c r="C529" s="98" t="s">
        <v>12</v>
      </c>
      <c r="E529"/>
      <c r="F529" t="s">
        <v>1098</v>
      </c>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1:38" ht="15.75" customHeight="1">
      <c r="A530" s="98" t="s">
        <v>1110</v>
      </c>
      <c r="B530" s="98" t="s">
        <v>1128</v>
      </c>
      <c r="C530" s="98" t="s">
        <v>12</v>
      </c>
      <c r="E530"/>
      <c r="F530" t="s">
        <v>1099</v>
      </c>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1:38" ht="15.75" customHeight="1">
      <c r="A531" s="98" t="s">
        <v>1110</v>
      </c>
      <c r="B531" s="98" t="s">
        <v>1129</v>
      </c>
      <c r="C531" s="98" t="s">
        <v>12</v>
      </c>
      <c r="E531"/>
      <c r="F531" t="s">
        <v>1100</v>
      </c>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1:38" ht="15.75" customHeight="1">
      <c r="A532" s="98" t="s">
        <v>1110</v>
      </c>
      <c r="B532" s="98" t="s">
        <v>1130</v>
      </c>
      <c r="C532" s="98" t="s">
        <v>12</v>
      </c>
      <c r="E532"/>
      <c r="F532" t="s">
        <v>1101</v>
      </c>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1:38" ht="15.75" customHeight="1">
      <c r="A533" s="98" t="s">
        <v>1110</v>
      </c>
      <c r="B533" s="98" t="s">
        <v>1131</v>
      </c>
      <c r="C533" s="98" t="s">
        <v>12</v>
      </c>
      <c r="E533"/>
      <c r="F533" t="s">
        <v>1102</v>
      </c>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1:38" ht="15.75" customHeight="1">
      <c r="A534" s="98" t="s">
        <v>1110</v>
      </c>
      <c r="B534" s="98" t="s">
        <v>1132</v>
      </c>
      <c r="C534" s="98" t="s">
        <v>12</v>
      </c>
      <c r="E534"/>
      <c r="F534" t="s">
        <v>1103</v>
      </c>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1:38" ht="15.75" customHeight="1">
      <c r="A535" s="98" t="s">
        <v>1110</v>
      </c>
      <c r="B535" s="98" t="s">
        <v>1133</v>
      </c>
      <c r="C535" s="98" t="s">
        <v>12</v>
      </c>
      <c r="E535"/>
      <c r="F535" t="s">
        <v>1104</v>
      </c>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1:38" ht="15.75" customHeight="1">
      <c r="A536" s="98" t="s">
        <v>1110</v>
      </c>
      <c r="B536" s="98" t="s">
        <v>1134</v>
      </c>
      <c r="C536" s="98" t="s">
        <v>12</v>
      </c>
      <c r="E536"/>
      <c r="F536" t="s">
        <v>1105</v>
      </c>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1:38" ht="15.75" customHeight="1">
      <c r="A537" s="98" t="s">
        <v>1110</v>
      </c>
      <c r="B537" s="98" t="s">
        <v>1135</v>
      </c>
      <c r="C537" s="98" t="s">
        <v>12</v>
      </c>
      <c r="E537"/>
      <c r="F537" t="s">
        <v>1106</v>
      </c>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1:38" ht="15.75" customHeight="1">
      <c r="A538" s="98" t="s">
        <v>1110</v>
      </c>
      <c r="B538" s="98" t="s">
        <v>1136</v>
      </c>
      <c r="C538" s="98" t="s">
        <v>12</v>
      </c>
      <c r="E538"/>
      <c r="F538" t="s">
        <v>1107</v>
      </c>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1:38" ht="15.75" customHeight="1">
      <c r="A539" s="98" t="s">
        <v>1110</v>
      </c>
      <c r="B539" s="98" t="s">
        <v>1137</v>
      </c>
      <c r="C539" s="98" t="s">
        <v>12</v>
      </c>
      <c r="E539"/>
      <c r="F539" t="s">
        <v>1108</v>
      </c>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1:38" ht="15.75" customHeight="1">
      <c r="A540" s="98" t="s">
        <v>1110</v>
      </c>
      <c r="B540" s="98" t="s">
        <v>1138</v>
      </c>
      <c r="C540" s="98" t="s">
        <v>12</v>
      </c>
      <c r="E540"/>
      <c r="F540" t="s">
        <v>1109</v>
      </c>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1:38" ht="15.75" customHeight="1">
      <c r="A541" s="98" t="s">
        <v>1110</v>
      </c>
      <c r="B541" s="98" t="s">
        <v>1139</v>
      </c>
      <c r="C541" s="98" t="s">
        <v>12</v>
      </c>
      <c r="E541" t="s">
        <v>1371</v>
      </c>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1:38" ht="15.75" customHeight="1">
      <c r="A542" s="98" t="s">
        <v>1110</v>
      </c>
      <c r="B542" s="98" t="s">
        <v>1140</v>
      </c>
      <c r="C542" s="98" t="s">
        <v>12</v>
      </c>
      <c r="E542" t="s">
        <v>1110</v>
      </c>
      <c r="F542" t="s">
        <v>1111</v>
      </c>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1:38" ht="15.75" customHeight="1">
      <c r="A543" s="98" t="s">
        <v>1110</v>
      </c>
      <c r="B543" s="98" t="s">
        <v>1141</v>
      </c>
      <c r="C543" s="98" t="s">
        <v>12</v>
      </c>
      <c r="E543"/>
      <c r="F543" t="s">
        <v>1112</v>
      </c>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1:38" ht="15.75" customHeight="1">
      <c r="A544" s="98" t="s">
        <v>1110</v>
      </c>
      <c r="B544" s="98" t="s">
        <v>1142</v>
      </c>
      <c r="C544" s="98" t="s">
        <v>12</v>
      </c>
      <c r="E544"/>
      <c r="F544" t="s">
        <v>1113</v>
      </c>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1:38" ht="15.75" customHeight="1">
      <c r="A545" s="98" t="s">
        <v>1110</v>
      </c>
      <c r="B545" s="98" t="s">
        <v>1143</v>
      </c>
      <c r="C545" s="98" t="s">
        <v>12</v>
      </c>
      <c r="E545"/>
      <c r="F545" t="s">
        <v>1114</v>
      </c>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1:38" ht="15.75" customHeight="1">
      <c r="A546" s="98" t="s">
        <v>1144</v>
      </c>
      <c r="B546" s="98" t="s">
        <v>1145</v>
      </c>
      <c r="C546" s="98" t="s">
        <v>12</v>
      </c>
      <c r="E546"/>
      <c r="F546" t="s">
        <v>1115</v>
      </c>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1:38" ht="15.75" customHeight="1">
      <c r="A547" s="98" t="s">
        <v>1144</v>
      </c>
      <c r="B547" s="98" t="s">
        <v>1146</v>
      </c>
      <c r="C547" s="98" t="s">
        <v>12</v>
      </c>
      <c r="E547"/>
      <c r="F547" t="s">
        <v>1116</v>
      </c>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1:38" ht="15.75" customHeight="1">
      <c r="A548" s="98" t="s">
        <v>1144</v>
      </c>
      <c r="B548" s="98" t="s">
        <v>1147</v>
      </c>
      <c r="C548" s="98" t="s">
        <v>12</v>
      </c>
      <c r="E548"/>
      <c r="F548" t="s">
        <v>1117</v>
      </c>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1:38" ht="15.75" customHeight="1">
      <c r="A549" s="98" t="s">
        <v>1144</v>
      </c>
      <c r="B549" s="98" t="s">
        <v>1148</v>
      </c>
      <c r="C549" s="98" t="s">
        <v>12</v>
      </c>
      <c r="E549"/>
      <c r="F549" t="s">
        <v>1118</v>
      </c>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1:38" ht="15.75" customHeight="1">
      <c r="A550" s="98" t="s">
        <v>1149</v>
      </c>
      <c r="B550" s="98" t="s">
        <v>1150</v>
      </c>
      <c r="C550" s="98" t="s">
        <v>12</v>
      </c>
      <c r="E550"/>
      <c r="F550" t="s">
        <v>1119</v>
      </c>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1:38" ht="15.75" customHeight="1">
      <c r="A551" s="98" t="s">
        <v>1149</v>
      </c>
      <c r="B551" s="98" t="s">
        <v>1151</v>
      </c>
      <c r="C551" s="98" t="s">
        <v>12</v>
      </c>
      <c r="E551"/>
      <c r="F551" t="s">
        <v>1120</v>
      </c>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1:38" ht="15.75" customHeight="1">
      <c r="A552" s="98" t="s">
        <v>1149</v>
      </c>
      <c r="B552" s="98" t="s">
        <v>1152</v>
      </c>
      <c r="C552" s="98" t="s">
        <v>12</v>
      </c>
      <c r="E552"/>
      <c r="F552" t="s">
        <v>1121</v>
      </c>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1:38" ht="15.75" customHeight="1">
      <c r="A553" s="98" t="s">
        <v>1149</v>
      </c>
      <c r="B553" s="98" t="s">
        <v>1153</v>
      </c>
      <c r="C553" s="98" t="s">
        <v>12</v>
      </c>
      <c r="E553"/>
      <c r="F553" t="s">
        <v>1122</v>
      </c>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1:38" ht="15.75" customHeight="1">
      <c r="A554" s="98" t="s">
        <v>1149</v>
      </c>
      <c r="B554" s="98" t="s">
        <v>1154</v>
      </c>
      <c r="C554" s="98" t="s">
        <v>12</v>
      </c>
      <c r="E554"/>
      <c r="F554" t="s">
        <v>1123</v>
      </c>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1:38" ht="15.75" customHeight="1">
      <c r="A555" s="98" t="s">
        <v>1149</v>
      </c>
      <c r="B555" s="98" t="s">
        <v>1155</v>
      </c>
      <c r="C555" s="98" t="s">
        <v>12</v>
      </c>
      <c r="E555"/>
      <c r="F555" t="s">
        <v>1124</v>
      </c>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1:38" ht="15.75" customHeight="1">
      <c r="A556" s="98" t="s">
        <v>1149</v>
      </c>
      <c r="B556" s="98" t="s">
        <v>1156</v>
      </c>
      <c r="C556" s="98" t="s">
        <v>12</v>
      </c>
      <c r="E556"/>
      <c r="F556" t="s">
        <v>1125</v>
      </c>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1:38" ht="15.75" customHeight="1">
      <c r="A557" s="98" t="s">
        <v>1149</v>
      </c>
      <c r="B557" s="98" t="s">
        <v>1157</v>
      </c>
      <c r="C557" s="98" t="s">
        <v>12</v>
      </c>
      <c r="E557"/>
      <c r="F557" t="s">
        <v>1126</v>
      </c>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1:38" ht="15.75" customHeight="1">
      <c r="A558" s="98" t="s">
        <v>1149</v>
      </c>
      <c r="B558" s="98" t="s">
        <v>1158</v>
      </c>
      <c r="C558" s="98" t="s">
        <v>12</v>
      </c>
      <c r="E558"/>
      <c r="F558" t="s">
        <v>1127</v>
      </c>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1:38" ht="15.75" customHeight="1">
      <c r="A559" s="98" t="s">
        <v>1149</v>
      </c>
      <c r="B559" s="98" t="s">
        <v>1159</v>
      </c>
      <c r="C559" s="98" t="s">
        <v>12</v>
      </c>
      <c r="E559"/>
      <c r="F559" t="s">
        <v>1128</v>
      </c>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1:38" ht="15.75" customHeight="1">
      <c r="A560" s="98" t="s">
        <v>1149</v>
      </c>
      <c r="B560" s="98" t="s">
        <v>1160</v>
      </c>
      <c r="C560" s="98" t="s">
        <v>12</v>
      </c>
      <c r="E560"/>
      <c r="F560" t="s">
        <v>1129</v>
      </c>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1:38" ht="15.75" customHeight="1">
      <c r="A561" s="98" t="s">
        <v>1149</v>
      </c>
      <c r="B561" s="98" t="s">
        <v>1161</v>
      </c>
      <c r="C561" s="98" t="s">
        <v>12</v>
      </c>
      <c r="E561"/>
      <c r="F561" t="s">
        <v>1130</v>
      </c>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1:38" ht="15.75" customHeight="1">
      <c r="A562" s="98" t="s">
        <v>1149</v>
      </c>
      <c r="B562" s="98" t="s">
        <v>1162</v>
      </c>
      <c r="C562" s="98" t="s">
        <v>12</v>
      </c>
      <c r="E562"/>
      <c r="F562" t="s">
        <v>1131</v>
      </c>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1:38" ht="15.75" customHeight="1">
      <c r="A563" s="98" t="s">
        <v>1149</v>
      </c>
      <c r="B563" s="98" t="s">
        <v>1163</v>
      </c>
      <c r="C563" s="98" t="s">
        <v>12</v>
      </c>
      <c r="E563"/>
      <c r="F563" t="s">
        <v>1132</v>
      </c>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1:38" ht="15.75" customHeight="1">
      <c r="A564" s="98" t="s">
        <v>1149</v>
      </c>
      <c r="B564" s="98" t="s">
        <v>1164</v>
      </c>
      <c r="C564" s="98" t="s">
        <v>12</v>
      </c>
      <c r="E564"/>
      <c r="F564" t="s">
        <v>1133</v>
      </c>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1:38" ht="15.75" customHeight="1">
      <c r="A565" s="98" t="s">
        <v>1149</v>
      </c>
      <c r="B565" s="98" t="s">
        <v>1165</v>
      </c>
      <c r="C565" s="98" t="s">
        <v>12</v>
      </c>
      <c r="E565"/>
      <c r="F565" t="s">
        <v>1134</v>
      </c>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1:38" ht="15.75" customHeight="1">
      <c r="A566" s="98" t="s">
        <v>1149</v>
      </c>
      <c r="B566" s="98" t="s">
        <v>1166</v>
      </c>
      <c r="C566" s="98" t="s">
        <v>12</v>
      </c>
      <c r="E566"/>
      <c r="F566" t="s">
        <v>1135</v>
      </c>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1:38" ht="15.75" customHeight="1">
      <c r="A567" s="98" t="s">
        <v>1149</v>
      </c>
      <c r="B567" s="98" t="s">
        <v>1167</v>
      </c>
      <c r="C567" s="98" t="s">
        <v>12</v>
      </c>
      <c r="E567"/>
      <c r="F567" t="s">
        <v>1136</v>
      </c>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1:38" ht="15.75" customHeight="1">
      <c r="A568" s="98" t="s">
        <v>1149</v>
      </c>
      <c r="B568" s="98" t="s">
        <v>1168</v>
      </c>
      <c r="C568" s="98" t="s">
        <v>12</v>
      </c>
      <c r="E568"/>
      <c r="F568" t="s">
        <v>1137</v>
      </c>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1:38" ht="15.75" customHeight="1">
      <c r="A569" s="98" t="s">
        <v>1149</v>
      </c>
      <c r="B569" s="98" t="s">
        <v>1169</v>
      </c>
      <c r="C569" s="98" t="s">
        <v>12</v>
      </c>
      <c r="E569"/>
      <c r="F569" t="s">
        <v>1138</v>
      </c>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1:38" ht="15.75" customHeight="1">
      <c r="A570" s="98" t="s">
        <v>1149</v>
      </c>
      <c r="B570" s="98" t="s">
        <v>1170</v>
      </c>
      <c r="C570" s="98" t="s">
        <v>12</v>
      </c>
      <c r="E570"/>
      <c r="F570" t="s">
        <v>1139</v>
      </c>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1:38" ht="15.75" customHeight="1">
      <c r="A571" s="98" t="s">
        <v>1149</v>
      </c>
      <c r="B571" s="98" t="s">
        <v>1171</v>
      </c>
      <c r="C571" s="98" t="s">
        <v>12</v>
      </c>
      <c r="E571"/>
      <c r="F571" t="s">
        <v>1140</v>
      </c>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1:38" ht="15.75" customHeight="1">
      <c r="A572" s="98" t="s">
        <v>1149</v>
      </c>
      <c r="B572" s="98" t="s">
        <v>1172</v>
      </c>
      <c r="C572" s="98" t="s">
        <v>12</v>
      </c>
      <c r="E572"/>
      <c r="F572" t="s">
        <v>1141</v>
      </c>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1:38" ht="15.75" customHeight="1">
      <c r="A573" s="98" t="s">
        <v>1149</v>
      </c>
      <c r="B573" s="98" t="s">
        <v>1173</v>
      </c>
      <c r="C573" s="98" t="s">
        <v>12</v>
      </c>
      <c r="E573"/>
      <c r="F573" t="s">
        <v>1142</v>
      </c>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1:38" ht="15.75" customHeight="1">
      <c r="A574" s="98" t="s">
        <v>1149</v>
      </c>
      <c r="B574" s="98" t="s">
        <v>1174</v>
      </c>
      <c r="C574" s="98" t="s">
        <v>12</v>
      </c>
      <c r="E574"/>
      <c r="F574" t="s">
        <v>1143</v>
      </c>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1:38" ht="15.75" customHeight="1">
      <c r="A575" s="98" t="s">
        <v>1149</v>
      </c>
      <c r="B575" s="98" t="s">
        <v>1175</v>
      </c>
      <c r="C575" s="98" t="s">
        <v>12</v>
      </c>
      <c r="E575" t="s">
        <v>1372</v>
      </c>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1:38" ht="15.75" customHeight="1">
      <c r="A576" s="98" t="s">
        <v>1149</v>
      </c>
      <c r="B576" s="98" t="s">
        <v>1176</v>
      </c>
      <c r="C576" s="98" t="s">
        <v>12</v>
      </c>
      <c r="E576" t="s">
        <v>1144</v>
      </c>
      <c r="F576" t="s">
        <v>1145</v>
      </c>
      <c r="G576"/>
      <c r="H576"/>
      <c r="I576"/>
      <c r="J576"/>
      <c r="K576"/>
      <c r="L576"/>
      <c r="M576"/>
      <c r="N576"/>
      <c r="O576"/>
      <c r="P576"/>
      <c r="Q576"/>
      <c r="R576"/>
      <c r="S576"/>
      <c r="T576"/>
      <c r="U576"/>
      <c r="V576"/>
      <c r="W576"/>
      <c r="X576"/>
      <c r="Y576"/>
      <c r="Z576"/>
      <c r="AA576"/>
      <c r="AB576"/>
      <c r="AC576"/>
      <c r="AD576"/>
      <c r="AE576"/>
      <c r="AF576"/>
      <c r="AG576"/>
      <c r="AH576"/>
      <c r="AI576"/>
      <c r="AJ576"/>
      <c r="AK576"/>
      <c r="AL576"/>
    </row>
    <row r="577" spans="1:38" ht="15.75" customHeight="1">
      <c r="A577" s="98" t="s">
        <v>1149</v>
      </c>
      <c r="B577" s="98" t="s">
        <v>1177</v>
      </c>
      <c r="C577" s="98" t="s">
        <v>12</v>
      </c>
      <c r="E577"/>
      <c r="F577" t="s">
        <v>1146</v>
      </c>
      <c r="G577"/>
      <c r="H577"/>
      <c r="I577"/>
      <c r="J577"/>
      <c r="K577"/>
      <c r="L577"/>
      <c r="M577"/>
      <c r="N577"/>
      <c r="O577"/>
      <c r="P577"/>
      <c r="Q577"/>
      <c r="R577"/>
      <c r="S577"/>
      <c r="T577"/>
      <c r="U577"/>
      <c r="V577"/>
      <c r="W577"/>
      <c r="X577"/>
      <c r="Y577"/>
      <c r="Z577"/>
      <c r="AA577"/>
      <c r="AB577"/>
      <c r="AC577"/>
      <c r="AD577"/>
      <c r="AE577"/>
      <c r="AF577"/>
      <c r="AG577"/>
      <c r="AH577"/>
      <c r="AI577"/>
      <c r="AJ577"/>
      <c r="AK577"/>
      <c r="AL577"/>
    </row>
    <row r="578" spans="1:38" ht="15.75" customHeight="1">
      <c r="A578" s="98" t="s">
        <v>1149</v>
      </c>
      <c r="B578" s="98" t="s">
        <v>1178</v>
      </c>
      <c r="C578" s="98" t="s">
        <v>12</v>
      </c>
      <c r="E578"/>
      <c r="F578" t="s">
        <v>1147</v>
      </c>
      <c r="G578"/>
      <c r="H578"/>
      <c r="I578"/>
      <c r="J578"/>
      <c r="K578"/>
      <c r="L578"/>
      <c r="M578"/>
      <c r="N578"/>
      <c r="O578"/>
      <c r="P578"/>
      <c r="Q578"/>
      <c r="R578"/>
      <c r="S578"/>
      <c r="T578"/>
      <c r="U578"/>
      <c r="V578"/>
      <c r="W578"/>
      <c r="X578"/>
      <c r="Y578"/>
      <c r="Z578"/>
      <c r="AA578"/>
      <c r="AB578"/>
      <c r="AC578"/>
      <c r="AD578"/>
      <c r="AE578"/>
      <c r="AF578"/>
      <c r="AG578"/>
      <c r="AH578"/>
      <c r="AI578"/>
      <c r="AJ578"/>
      <c r="AK578"/>
      <c r="AL578"/>
    </row>
    <row r="579" spans="1:38" ht="15.75" customHeight="1">
      <c r="A579" s="98" t="s">
        <v>1149</v>
      </c>
      <c r="B579" s="98" t="s">
        <v>1179</v>
      </c>
      <c r="C579" s="98" t="s">
        <v>12</v>
      </c>
      <c r="E579"/>
      <c r="F579" t="s">
        <v>1148</v>
      </c>
      <c r="G579"/>
      <c r="H579"/>
      <c r="I579"/>
      <c r="J579"/>
      <c r="K579"/>
      <c r="L579"/>
      <c r="M579"/>
      <c r="N579"/>
      <c r="O579"/>
      <c r="P579"/>
      <c r="Q579"/>
      <c r="R579"/>
      <c r="S579"/>
      <c r="T579"/>
      <c r="U579"/>
      <c r="V579"/>
      <c r="W579"/>
      <c r="X579"/>
      <c r="Y579"/>
      <c r="Z579"/>
      <c r="AA579"/>
      <c r="AB579"/>
      <c r="AC579"/>
      <c r="AD579"/>
      <c r="AE579"/>
      <c r="AF579"/>
      <c r="AG579"/>
      <c r="AH579"/>
      <c r="AI579"/>
      <c r="AJ579"/>
      <c r="AK579"/>
      <c r="AL579"/>
    </row>
    <row r="580" spans="1:38" ht="15.75" customHeight="1">
      <c r="A580" s="98" t="s">
        <v>1149</v>
      </c>
      <c r="B580" s="98" t="s">
        <v>1180</v>
      </c>
      <c r="C580" s="98" t="s">
        <v>12</v>
      </c>
      <c r="E580" t="s">
        <v>1373</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row>
    <row r="581" spans="1:38" ht="15.75" customHeight="1">
      <c r="A581" s="98" t="s">
        <v>1149</v>
      </c>
      <c r="B581" s="98" t="s">
        <v>1181</v>
      </c>
      <c r="C581" s="98" t="s">
        <v>12</v>
      </c>
      <c r="E581" t="s">
        <v>1149</v>
      </c>
      <c r="F581" t="s">
        <v>1150</v>
      </c>
      <c r="G581"/>
      <c r="H581"/>
      <c r="I581"/>
      <c r="J581"/>
      <c r="K581"/>
      <c r="L581"/>
      <c r="M581"/>
      <c r="N581"/>
      <c r="O581"/>
      <c r="P581"/>
      <c r="Q581"/>
      <c r="R581"/>
      <c r="S581"/>
      <c r="T581"/>
      <c r="U581"/>
      <c r="V581"/>
      <c r="W581"/>
      <c r="X581"/>
      <c r="Y581"/>
      <c r="Z581"/>
      <c r="AA581"/>
      <c r="AB581"/>
      <c r="AC581"/>
      <c r="AD581"/>
      <c r="AE581"/>
      <c r="AF581"/>
      <c r="AG581"/>
      <c r="AH581"/>
      <c r="AI581"/>
      <c r="AJ581"/>
      <c r="AK581"/>
      <c r="AL581"/>
    </row>
    <row r="582" spans="1:38" ht="15.75" customHeight="1">
      <c r="A582" s="98" t="s">
        <v>1149</v>
      </c>
      <c r="B582" s="98" t="s">
        <v>1182</v>
      </c>
      <c r="C582" s="98" t="s">
        <v>12</v>
      </c>
      <c r="E582"/>
      <c r="F582" t="s">
        <v>1151</v>
      </c>
      <c r="G582"/>
      <c r="H582"/>
      <c r="I582"/>
      <c r="J582"/>
      <c r="K582"/>
      <c r="L582"/>
      <c r="M582"/>
      <c r="N582"/>
      <c r="O582"/>
      <c r="P582"/>
      <c r="Q582"/>
      <c r="R582"/>
      <c r="S582"/>
      <c r="T582"/>
      <c r="U582"/>
      <c r="V582"/>
      <c r="W582"/>
      <c r="X582"/>
      <c r="Y582"/>
      <c r="Z582"/>
      <c r="AA582"/>
      <c r="AB582"/>
      <c r="AC582"/>
      <c r="AD582"/>
      <c r="AE582"/>
      <c r="AF582"/>
      <c r="AG582"/>
      <c r="AH582"/>
      <c r="AI582"/>
      <c r="AJ582"/>
      <c r="AK582"/>
      <c r="AL582"/>
    </row>
    <row r="583" spans="1:38" ht="15.75" customHeight="1">
      <c r="A583" s="98" t="s">
        <v>1149</v>
      </c>
      <c r="B583" s="98" t="s">
        <v>1183</v>
      </c>
      <c r="C583" s="98" t="s">
        <v>12</v>
      </c>
      <c r="E583"/>
      <c r="F583" t="s">
        <v>1152</v>
      </c>
      <c r="G583"/>
      <c r="H583"/>
      <c r="I583"/>
      <c r="J583"/>
      <c r="K583"/>
      <c r="L583"/>
      <c r="M583"/>
      <c r="N583"/>
      <c r="O583"/>
      <c r="P583"/>
      <c r="Q583"/>
      <c r="R583"/>
      <c r="S583"/>
      <c r="T583"/>
      <c r="U583"/>
      <c r="V583"/>
      <c r="W583"/>
      <c r="X583"/>
      <c r="Y583"/>
      <c r="Z583"/>
      <c r="AA583"/>
      <c r="AB583"/>
      <c r="AC583"/>
      <c r="AD583"/>
      <c r="AE583"/>
      <c r="AF583"/>
      <c r="AG583"/>
      <c r="AH583"/>
      <c r="AI583"/>
      <c r="AJ583"/>
      <c r="AK583"/>
      <c r="AL583"/>
    </row>
    <row r="584" spans="1:38" ht="15.75" customHeight="1">
      <c r="A584" s="98" t="s">
        <v>1149</v>
      </c>
      <c r="B584" s="98" t="s">
        <v>1184</v>
      </c>
      <c r="C584" s="98" t="s">
        <v>12</v>
      </c>
      <c r="E584"/>
      <c r="F584" t="s">
        <v>1153</v>
      </c>
      <c r="G584"/>
      <c r="H584"/>
      <c r="I584"/>
      <c r="J584"/>
      <c r="K584"/>
      <c r="L584"/>
      <c r="M584"/>
      <c r="N584"/>
      <c r="O584"/>
      <c r="P584"/>
      <c r="Q584"/>
      <c r="R584"/>
      <c r="S584"/>
      <c r="T584"/>
      <c r="U584"/>
      <c r="V584"/>
      <c r="W584"/>
      <c r="X584"/>
      <c r="Y584"/>
      <c r="Z584"/>
      <c r="AA584"/>
      <c r="AB584"/>
      <c r="AC584"/>
      <c r="AD584"/>
      <c r="AE584"/>
      <c r="AF584"/>
      <c r="AG584"/>
      <c r="AH584"/>
      <c r="AI584"/>
      <c r="AJ584"/>
      <c r="AK584"/>
      <c r="AL584"/>
    </row>
    <row r="585" spans="1:38" ht="15.75" customHeight="1">
      <c r="A585" s="98" t="s">
        <v>1149</v>
      </c>
      <c r="B585" s="98" t="s">
        <v>1185</v>
      </c>
      <c r="C585" s="98" t="s">
        <v>12</v>
      </c>
      <c r="E585"/>
      <c r="F585" t="s">
        <v>1154</v>
      </c>
      <c r="G585"/>
      <c r="H585"/>
      <c r="I585"/>
      <c r="J585"/>
      <c r="K585"/>
      <c r="L585"/>
      <c r="M585"/>
      <c r="N585"/>
      <c r="O585"/>
      <c r="P585"/>
      <c r="Q585"/>
      <c r="R585"/>
      <c r="S585"/>
      <c r="T585"/>
      <c r="U585"/>
      <c r="V585"/>
      <c r="W585"/>
      <c r="X585"/>
      <c r="Y585"/>
      <c r="Z585"/>
      <c r="AA585"/>
      <c r="AB585"/>
      <c r="AC585"/>
      <c r="AD585"/>
      <c r="AE585"/>
      <c r="AF585"/>
      <c r="AG585"/>
      <c r="AH585"/>
      <c r="AI585"/>
      <c r="AJ585"/>
      <c r="AK585"/>
      <c r="AL585"/>
    </row>
    <row r="586" spans="1:38" ht="15.75" customHeight="1">
      <c r="A586" s="98" t="s">
        <v>1149</v>
      </c>
      <c r="B586" s="98" t="s">
        <v>1186</v>
      </c>
      <c r="C586" s="98" t="s">
        <v>12</v>
      </c>
      <c r="E586"/>
      <c r="F586" t="s">
        <v>1155</v>
      </c>
      <c r="G586"/>
      <c r="H586"/>
      <c r="I586"/>
      <c r="J586"/>
      <c r="K586"/>
      <c r="L586"/>
      <c r="M586"/>
      <c r="N586"/>
      <c r="O586"/>
      <c r="P586"/>
      <c r="Q586"/>
      <c r="R586"/>
      <c r="S586"/>
      <c r="T586"/>
      <c r="U586"/>
      <c r="V586"/>
      <c r="W586"/>
      <c r="X586"/>
      <c r="Y586"/>
      <c r="Z586"/>
      <c r="AA586"/>
      <c r="AB586"/>
      <c r="AC586"/>
      <c r="AD586"/>
      <c r="AE586"/>
      <c r="AF586"/>
      <c r="AG586"/>
      <c r="AH586"/>
      <c r="AI586"/>
      <c r="AJ586"/>
      <c r="AK586"/>
      <c r="AL586"/>
    </row>
    <row r="587" spans="1:38" ht="15.75" customHeight="1">
      <c r="A587" s="98" t="s">
        <v>1149</v>
      </c>
      <c r="B587" s="98" t="s">
        <v>1187</v>
      </c>
      <c r="C587" s="98" t="s">
        <v>12</v>
      </c>
      <c r="E587"/>
      <c r="F587" t="s">
        <v>1156</v>
      </c>
      <c r="G587"/>
      <c r="H587"/>
      <c r="I587"/>
      <c r="J587"/>
      <c r="K587"/>
      <c r="L587"/>
      <c r="M587"/>
      <c r="N587"/>
      <c r="O587"/>
      <c r="P587"/>
      <c r="Q587"/>
      <c r="R587"/>
      <c r="S587"/>
      <c r="T587"/>
      <c r="U587"/>
      <c r="V587"/>
      <c r="W587"/>
      <c r="X587"/>
      <c r="Y587"/>
      <c r="Z587"/>
      <c r="AA587"/>
      <c r="AB587"/>
      <c r="AC587"/>
      <c r="AD587"/>
      <c r="AE587"/>
      <c r="AF587"/>
      <c r="AG587"/>
      <c r="AH587"/>
      <c r="AI587"/>
      <c r="AJ587"/>
      <c r="AK587"/>
      <c r="AL587"/>
    </row>
    <row r="588" spans="1:38" ht="15.75" customHeight="1">
      <c r="A588" s="98" t="s">
        <v>1188</v>
      </c>
      <c r="B588" s="98" t="s">
        <v>1189</v>
      </c>
      <c r="C588" s="98" t="s">
        <v>12</v>
      </c>
      <c r="E588"/>
      <c r="F588" t="s">
        <v>1157</v>
      </c>
      <c r="G588"/>
      <c r="H588"/>
      <c r="I588"/>
      <c r="J588"/>
      <c r="K588"/>
      <c r="L588"/>
      <c r="M588"/>
      <c r="N588"/>
      <c r="O588"/>
      <c r="P588"/>
      <c r="Q588"/>
      <c r="R588"/>
      <c r="S588"/>
      <c r="T588"/>
      <c r="U588"/>
      <c r="V588"/>
      <c r="W588"/>
      <c r="X588"/>
      <c r="Y588"/>
      <c r="Z588"/>
      <c r="AA588"/>
      <c r="AB588"/>
      <c r="AC588"/>
      <c r="AD588"/>
      <c r="AE588"/>
      <c r="AF588"/>
      <c r="AG588"/>
      <c r="AH588"/>
      <c r="AI588"/>
      <c r="AJ588"/>
      <c r="AK588"/>
      <c r="AL588"/>
    </row>
    <row r="589" spans="1:38" ht="15.75" customHeight="1">
      <c r="A589" s="98" t="s">
        <v>1188</v>
      </c>
      <c r="B589" s="98" t="s">
        <v>1190</v>
      </c>
      <c r="C589" s="98" t="s">
        <v>12</v>
      </c>
      <c r="E589"/>
      <c r="F589" t="s">
        <v>1158</v>
      </c>
      <c r="G589"/>
      <c r="H589"/>
      <c r="I589"/>
      <c r="J589"/>
      <c r="K589"/>
      <c r="L589"/>
      <c r="M589"/>
      <c r="N589"/>
      <c r="O589"/>
      <c r="P589"/>
      <c r="Q589"/>
      <c r="R589"/>
      <c r="S589"/>
      <c r="T589"/>
      <c r="U589"/>
      <c r="V589"/>
      <c r="W589"/>
      <c r="X589"/>
      <c r="Y589"/>
      <c r="Z589"/>
      <c r="AA589"/>
      <c r="AB589"/>
      <c r="AC589"/>
      <c r="AD589"/>
      <c r="AE589"/>
      <c r="AF589"/>
      <c r="AG589"/>
      <c r="AH589"/>
      <c r="AI589"/>
      <c r="AJ589"/>
      <c r="AK589"/>
      <c r="AL589"/>
    </row>
    <row r="590" spans="1:38" ht="15.75" customHeight="1">
      <c r="A590" s="98" t="s">
        <v>1188</v>
      </c>
      <c r="B590" s="98" t="s">
        <v>1191</v>
      </c>
      <c r="C590" s="98" t="s">
        <v>12</v>
      </c>
      <c r="E590"/>
      <c r="F590" t="s">
        <v>1159</v>
      </c>
      <c r="G590"/>
      <c r="H590"/>
      <c r="I590"/>
      <c r="J590"/>
      <c r="K590"/>
      <c r="L590"/>
      <c r="M590"/>
      <c r="N590"/>
      <c r="O590"/>
      <c r="P590"/>
      <c r="Q590"/>
      <c r="R590"/>
      <c r="S590"/>
      <c r="T590"/>
      <c r="U590"/>
      <c r="V590"/>
      <c r="W590"/>
      <c r="X590"/>
      <c r="Y590"/>
      <c r="Z590"/>
      <c r="AA590"/>
      <c r="AB590"/>
      <c r="AC590"/>
      <c r="AD590"/>
      <c r="AE590"/>
      <c r="AF590"/>
      <c r="AG590"/>
      <c r="AH590"/>
      <c r="AI590"/>
      <c r="AJ590"/>
      <c r="AK590"/>
      <c r="AL590"/>
    </row>
    <row r="591" spans="1:38" ht="15.75" customHeight="1">
      <c r="A591" s="98" t="s">
        <v>1188</v>
      </c>
      <c r="B591" s="98" t="s">
        <v>1192</v>
      </c>
      <c r="C591" s="98" t="s">
        <v>12</v>
      </c>
      <c r="E591"/>
      <c r="F591" t="s">
        <v>1160</v>
      </c>
      <c r="G591"/>
      <c r="H591"/>
      <c r="I591"/>
      <c r="J591"/>
      <c r="K591"/>
      <c r="L591"/>
      <c r="M591"/>
      <c r="N591"/>
      <c r="O591"/>
      <c r="P591"/>
      <c r="Q591"/>
      <c r="R591"/>
      <c r="S591"/>
      <c r="T591"/>
      <c r="U591"/>
      <c r="V591"/>
      <c r="W591"/>
      <c r="X591"/>
      <c r="Y591"/>
      <c r="Z591"/>
      <c r="AA591"/>
      <c r="AB591"/>
      <c r="AC591"/>
      <c r="AD591"/>
      <c r="AE591"/>
      <c r="AF591"/>
      <c r="AG591"/>
      <c r="AH591"/>
      <c r="AI591"/>
      <c r="AJ591"/>
      <c r="AK591"/>
      <c r="AL591"/>
    </row>
    <row r="592" spans="1:38" ht="15.75" customHeight="1">
      <c r="A592" s="98" t="s">
        <v>1188</v>
      </c>
      <c r="B592" s="98" t="s">
        <v>1193</v>
      </c>
      <c r="C592" s="98" t="s">
        <v>12</v>
      </c>
      <c r="E592"/>
      <c r="F592" t="s">
        <v>1161</v>
      </c>
      <c r="G592"/>
      <c r="H592"/>
      <c r="I592"/>
      <c r="J592"/>
      <c r="K592"/>
      <c r="L592"/>
      <c r="M592"/>
      <c r="N592"/>
      <c r="O592"/>
      <c r="P592"/>
      <c r="Q592"/>
      <c r="R592"/>
      <c r="S592"/>
      <c r="T592"/>
      <c r="U592"/>
      <c r="V592"/>
      <c r="W592"/>
      <c r="X592"/>
      <c r="Y592"/>
      <c r="Z592"/>
      <c r="AA592"/>
      <c r="AB592"/>
      <c r="AC592"/>
      <c r="AD592"/>
      <c r="AE592"/>
      <c r="AF592"/>
      <c r="AG592"/>
      <c r="AH592"/>
      <c r="AI592"/>
      <c r="AJ592"/>
      <c r="AK592"/>
      <c r="AL592"/>
    </row>
    <row r="593" spans="1:38" ht="15.75" customHeight="1">
      <c r="A593" s="98" t="s">
        <v>1188</v>
      </c>
      <c r="B593" s="98" t="s">
        <v>1194</v>
      </c>
      <c r="C593" s="98" t="s">
        <v>12</v>
      </c>
      <c r="E593"/>
      <c r="F593" t="s">
        <v>1162</v>
      </c>
      <c r="G593"/>
      <c r="H593"/>
      <c r="I593"/>
      <c r="J593"/>
      <c r="K593"/>
      <c r="L593"/>
      <c r="M593"/>
      <c r="N593"/>
      <c r="O593"/>
      <c r="P593"/>
      <c r="Q593"/>
      <c r="R593"/>
      <c r="S593"/>
      <c r="T593"/>
      <c r="U593"/>
      <c r="V593"/>
      <c r="W593"/>
      <c r="X593"/>
      <c r="Y593"/>
      <c r="Z593"/>
      <c r="AA593"/>
      <c r="AB593"/>
      <c r="AC593"/>
      <c r="AD593"/>
      <c r="AE593"/>
      <c r="AF593"/>
      <c r="AG593"/>
      <c r="AH593"/>
      <c r="AI593"/>
      <c r="AJ593"/>
      <c r="AK593"/>
      <c r="AL593"/>
    </row>
    <row r="594" spans="1:38" ht="15.75" customHeight="1">
      <c r="A594" s="98" t="s">
        <v>1188</v>
      </c>
      <c r="B594" s="98" t="s">
        <v>1195</v>
      </c>
      <c r="C594" s="98" t="s">
        <v>12</v>
      </c>
      <c r="E594"/>
      <c r="F594" t="s">
        <v>1163</v>
      </c>
      <c r="G594"/>
      <c r="H594"/>
      <c r="I594"/>
      <c r="J594"/>
      <c r="K594"/>
      <c r="L594"/>
      <c r="M594"/>
      <c r="N594"/>
      <c r="O594"/>
      <c r="P594"/>
      <c r="Q594"/>
      <c r="R594"/>
      <c r="S594"/>
      <c r="T594"/>
      <c r="U594"/>
      <c r="V594"/>
      <c r="W594"/>
      <c r="X594"/>
      <c r="Y594"/>
      <c r="Z594"/>
      <c r="AA594"/>
      <c r="AB594"/>
      <c r="AC594"/>
      <c r="AD594"/>
      <c r="AE594"/>
      <c r="AF594"/>
      <c r="AG594"/>
      <c r="AH594"/>
      <c r="AI594"/>
      <c r="AJ594"/>
      <c r="AK594"/>
      <c r="AL594"/>
    </row>
    <row r="595" spans="1:38" ht="15.75" customHeight="1">
      <c r="A595" s="98" t="s">
        <v>1188</v>
      </c>
      <c r="B595" s="98" t="s">
        <v>1196</v>
      </c>
      <c r="C595" s="98" t="s">
        <v>12</v>
      </c>
      <c r="E595"/>
      <c r="F595" t="s">
        <v>1164</v>
      </c>
      <c r="G595"/>
      <c r="H595"/>
      <c r="I595"/>
      <c r="J595"/>
      <c r="K595"/>
      <c r="L595"/>
      <c r="M595"/>
      <c r="N595"/>
      <c r="O595"/>
      <c r="P595"/>
      <c r="Q595"/>
      <c r="R595"/>
      <c r="S595"/>
      <c r="T595"/>
      <c r="U595"/>
      <c r="V595"/>
      <c r="W595"/>
      <c r="X595"/>
      <c r="Y595"/>
      <c r="Z595"/>
      <c r="AA595"/>
      <c r="AB595"/>
      <c r="AC595"/>
      <c r="AD595"/>
      <c r="AE595"/>
      <c r="AF595"/>
      <c r="AG595"/>
      <c r="AH595"/>
      <c r="AI595"/>
      <c r="AJ595"/>
      <c r="AK595"/>
      <c r="AL595"/>
    </row>
    <row r="596" spans="1:38" ht="15.75" customHeight="1">
      <c r="A596" s="98" t="s">
        <v>1188</v>
      </c>
      <c r="B596" s="98" t="s">
        <v>1197</v>
      </c>
      <c r="C596" s="98" t="s">
        <v>12</v>
      </c>
      <c r="E596"/>
      <c r="F596" t="s">
        <v>1165</v>
      </c>
      <c r="G596"/>
      <c r="H596"/>
      <c r="I596"/>
      <c r="J596"/>
      <c r="K596"/>
      <c r="L596"/>
      <c r="M596"/>
      <c r="N596"/>
      <c r="O596"/>
      <c r="P596"/>
      <c r="Q596"/>
      <c r="R596"/>
      <c r="S596"/>
      <c r="T596"/>
      <c r="U596"/>
      <c r="V596"/>
      <c r="W596"/>
      <c r="X596"/>
      <c r="Y596"/>
      <c r="Z596"/>
      <c r="AA596"/>
      <c r="AB596"/>
      <c r="AC596"/>
      <c r="AD596"/>
      <c r="AE596"/>
      <c r="AF596"/>
      <c r="AG596"/>
      <c r="AH596"/>
      <c r="AI596"/>
      <c r="AJ596"/>
      <c r="AK596"/>
      <c r="AL596"/>
    </row>
    <row r="597" spans="1:38" ht="15.75" customHeight="1">
      <c r="A597" s="98" t="s">
        <v>1188</v>
      </c>
      <c r="B597" s="98" t="s">
        <v>1198</v>
      </c>
      <c r="C597" s="98" t="s">
        <v>12</v>
      </c>
      <c r="E597"/>
      <c r="F597" t="s">
        <v>1166</v>
      </c>
      <c r="G597"/>
      <c r="H597"/>
      <c r="I597"/>
      <c r="J597"/>
      <c r="K597"/>
      <c r="L597"/>
      <c r="M597"/>
      <c r="N597"/>
      <c r="O597"/>
      <c r="P597"/>
      <c r="Q597"/>
      <c r="R597"/>
      <c r="S597"/>
      <c r="T597"/>
      <c r="U597"/>
      <c r="V597"/>
      <c r="W597"/>
      <c r="X597"/>
      <c r="Y597"/>
      <c r="Z597"/>
      <c r="AA597"/>
      <c r="AB597"/>
      <c r="AC597"/>
      <c r="AD597"/>
      <c r="AE597"/>
      <c r="AF597"/>
      <c r="AG597"/>
      <c r="AH597"/>
      <c r="AI597"/>
      <c r="AJ597"/>
      <c r="AK597"/>
      <c r="AL597"/>
    </row>
    <row r="598" spans="1:38" ht="15.75" customHeight="1">
      <c r="A598" s="98" t="s">
        <v>1188</v>
      </c>
      <c r="B598" s="98" t="s">
        <v>1199</v>
      </c>
      <c r="C598" s="98" t="s">
        <v>12</v>
      </c>
      <c r="E598"/>
      <c r="F598" t="s">
        <v>1167</v>
      </c>
      <c r="G598"/>
      <c r="H598"/>
      <c r="I598"/>
      <c r="J598"/>
      <c r="K598"/>
      <c r="L598"/>
      <c r="M598"/>
      <c r="N598"/>
      <c r="O598"/>
      <c r="P598"/>
      <c r="Q598"/>
      <c r="R598"/>
      <c r="S598"/>
      <c r="T598"/>
      <c r="U598"/>
      <c r="V598"/>
      <c r="W598"/>
      <c r="X598"/>
      <c r="Y598"/>
      <c r="Z598"/>
      <c r="AA598"/>
      <c r="AB598"/>
      <c r="AC598"/>
      <c r="AD598"/>
      <c r="AE598"/>
      <c r="AF598"/>
      <c r="AG598"/>
      <c r="AH598"/>
      <c r="AI598"/>
      <c r="AJ598"/>
      <c r="AK598"/>
      <c r="AL598"/>
    </row>
    <row r="599" spans="1:38" ht="15.75" customHeight="1">
      <c r="A599" s="98" t="s">
        <v>1188</v>
      </c>
      <c r="B599" s="98" t="s">
        <v>1200</v>
      </c>
      <c r="C599" s="98" t="s">
        <v>12</v>
      </c>
      <c r="E599"/>
      <c r="F599" t="s">
        <v>1168</v>
      </c>
      <c r="G599"/>
      <c r="H599"/>
      <c r="I599"/>
      <c r="J599"/>
      <c r="K599"/>
      <c r="L599"/>
      <c r="M599"/>
      <c r="N599"/>
      <c r="O599"/>
      <c r="P599"/>
      <c r="Q599"/>
      <c r="R599"/>
      <c r="S599"/>
      <c r="T599"/>
      <c r="U599"/>
      <c r="V599"/>
      <c r="W599"/>
      <c r="X599"/>
      <c r="Y599"/>
      <c r="Z599"/>
      <c r="AA599"/>
      <c r="AB599"/>
      <c r="AC599"/>
      <c r="AD599"/>
      <c r="AE599"/>
      <c r="AF599"/>
      <c r="AG599"/>
      <c r="AH599"/>
      <c r="AI599"/>
      <c r="AJ599"/>
      <c r="AK599"/>
      <c r="AL599"/>
    </row>
    <row r="600" spans="1:38" ht="15.75" customHeight="1">
      <c r="A600" s="98" t="s">
        <v>1188</v>
      </c>
      <c r="B600" s="98" t="s">
        <v>1201</v>
      </c>
      <c r="C600" s="98" t="s">
        <v>12</v>
      </c>
      <c r="E600"/>
      <c r="F600" t="s">
        <v>1169</v>
      </c>
      <c r="G600"/>
      <c r="H600"/>
      <c r="I600"/>
      <c r="J600"/>
      <c r="K600"/>
      <c r="L600"/>
      <c r="M600"/>
      <c r="N600"/>
      <c r="O600"/>
      <c r="P600"/>
      <c r="Q600"/>
      <c r="R600"/>
      <c r="S600"/>
      <c r="T600"/>
      <c r="U600"/>
      <c r="V600"/>
      <c r="W600"/>
      <c r="X600"/>
      <c r="Y600"/>
      <c r="Z600"/>
      <c r="AA600"/>
      <c r="AB600"/>
      <c r="AC600"/>
      <c r="AD600"/>
      <c r="AE600"/>
      <c r="AF600"/>
      <c r="AG600"/>
      <c r="AH600"/>
      <c r="AI600"/>
      <c r="AJ600"/>
      <c r="AK600"/>
      <c r="AL600"/>
    </row>
    <row r="601" spans="1:38" ht="15.75" customHeight="1">
      <c r="A601" s="98" t="s">
        <v>1188</v>
      </c>
      <c r="B601" s="98" t="s">
        <v>1202</v>
      </c>
      <c r="C601" s="98" t="s">
        <v>12</v>
      </c>
      <c r="E601"/>
      <c r="F601" t="s">
        <v>1170</v>
      </c>
      <c r="G601"/>
      <c r="H601"/>
      <c r="I601"/>
      <c r="J601"/>
      <c r="K601"/>
      <c r="L601"/>
      <c r="M601"/>
      <c r="N601"/>
      <c r="O601"/>
      <c r="P601"/>
      <c r="Q601"/>
      <c r="R601"/>
      <c r="S601"/>
      <c r="T601"/>
      <c r="U601"/>
      <c r="V601"/>
      <c r="W601"/>
      <c r="X601"/>
      <c r="Y601"/>
      <c r="Z601"/>
      <c r="AA601"/>
      <c r="AB601"/>
      <c r="AC601"/>
      <c r="AD601"/>
      <c r="AE601"/>
      <c r="AF601"/>
      <c r="AG601"/>
      <c r="AH601"/>
      <c r="AI601"/>
      <c r="AJ601"/>
      <c r="AK601"/>
      <c r="AL601"/>
    </row>
    <row r="602" spans="1:38" ht="15.75" customHeight="1">
      <c r="A602" s="98" t="s">
        <v>1188</v>
      </c>
      <c r="B602" s="98" t="s">
        <v>1203</v>
      </c>
      <c r="C602" s="98" t="s">
        <v>12</v>
      </c>
      <c r="E602"/>
      <c r="F602" t="s">
        <v>1171</v>
      </c>
      <c r="G602"/>
      <c r="H602"/>
      <c r="I602"/>
      <c r="J602"/>
      <c r="K602"/>
      <c r="L602"/>
      <c r="M602"/>
      <c r="N602"/>
      <c r="O602"/>
      <c r="P602"/>
      <c r="Q602"/>
      <c r="R602"/>
      <c r="S602"/>
      <c r="T602"/>
      <c r="U602"/>
      <c r="V602"/>
      <c r="W602"/>
      <c r="X602"/>
      <c r="Y602"/>
      <c r="Z602"/>
      <c r="AA602"/>
      <c r="AB602"/>
      <c r="AC602"/>
      <c r="AD602"/>
      <c r="AE602"/>
      <c r="AF602"/>
      <c r="AG602"/>
      <c r="AH602"/>
      <c r="AI602"/>
      <c r="AJ602"/>
      <c r="AK602"/>
      <c r="AL602"/>
    </row>
    <row r="603" spans="1:38" ht="15.75" customHeight="1">
      <c r="A603" s="98" t="s">
        <v>1188</v>
      </c>
      <c r="B603" s="98" t="s">
        <v>1204</v>
      </c>
      <c r="C603" s="98" t="s">
        <v>12</v>
      </c>
      <c r="E603"/>
      <c r="F603" t="s">
        <v>1172</v>
      </c>
      <c r="G603"/>
      <c r="H603"/>
      <c r="I603"/>
      <c r="J603"/>
      <c r="K603"/>
      <c r="L603"/>
      <c r="M603"/>
      <c r="N603"/>
      <c r="O603"/>
      <c r="P603"/>
      <c r="Q603"/>
      <c r="R603"/>
      <c r="S603"/>
      <c r="T603"/>
      <c r="U603"/>
      <c r="V603"/>
      <c r="W603"/>
      <c r="X603"/>
      <c r="Y603"/>
      <c r="Z603"/>
      <c r="AA603"/>
      <c r="AB603"/>
      <c r="AC603"/>
      <c r="AD603"/>
      <c r="AE603"/>
      <c r="AF603"/>
      <c r="AG603"/>
      <c r="AH603"/>
      <c r="AI603"/>
      <c r="AJ603"/>
      <c r="AK603"/>
      <c r="AL603"/>
    </row>
    <row r="604" spans="1:38" ht="15.75" customHeight="1">
      <c r="A604" s="98" t="s">
        <v>1188</v>
      </c>
      <c r="B604" s="98" t="s">
        <v>1205</v>
      </c>
      <c r="C604" s="98" t="s">
        <v>12</v>
      </c>
      <c r="E604"/>
      <c r="F604" t="s">
        <v>1173</v>
      </c>
      <c r="G604"/>
      <c r="H604"/>
      <c r="I604"/>
      <c r="J604"/>
      <c r="K604"/>
      <c r="L604"/>
      <c r="M604"/>
      <c r="N604"/>
      <c r="O604"/>
      <c r="P604"/>
      <c r="Q604"/>
      <c r="R604"/>
      <c r="S604"/>
      <c r="T604"/>
      <c r="U604"/>
      <c r="V604"/>
      <c r="W604"/>
      <c r="X604"/>
      <c r="Y604"/>
      <c r="Z604"/>
      <c r="AA604"/>
      <c r="AB604"/>
      <c r="AC604"/>
      <c r="AD604"/>
      <c r="AE604"/>
      <c r="AF604"/>
      <c r="AG604"/>
      <c r="AH604"/>
      <c r="AI604"/>
      <c r="AJ604"/>
      <c r="AK604"/>
      <c r="AL604"/>
    </row>
    <row r="605" spans="1:38" ht="15.75" customHeight="1">
      <c r="A605" s="98" t="s">
        <v>1188</v>
      </c>
      <c r="B605" s="98" t="s">
        <v>1206</v>
      </c>
      <c r="C605" s="98" t="s">
        <v>12</v>
      </c>
      <c r="E605"/>
      <c r="F605" t="s">
        <v>1174</v>
      </c>
      <c r="G605"/>
      <c r="H605"/>
      <c r="I605"/>
      <c r="J605"/>
      <c r="K605"/>
      <c r="L605"/>
      <c r="M605"/>
      <c r="N605"/>
      <c r="O605"/>
      <c r="P605"/>
      <c r="Q605"/>
      <c r="R605"/>
      <c r="S605"/>
      <c r="T605"/>
      <c r="U605"/>
      <c r="V605"/>
      <c r="W605"/>
      <c r="X605"/>
      <c r="Y605"/>
      <c r="Z605"/>
      <c r="AA605"/>
      <c r="AB605"/>
      <c r="AC605"/>
      <c r="AD605"/>
      <c r="AE605"/>
      <c r="AF605"/>
      <c r="AG605"/>
      <c r="AH605"/>
      <c r="AI605"/>
      <c r="AJ605"/>
      <c r="AK605"/>
      <c r="AL605"/>
    </row>
    <row r="606" spans="1:38" ht="15.75" customHeight="1">
      <c r="A606" s="98" t="s">
        <v>1188</v>
      </c>
      <c r="B606" s="98" t="s">
        <v>1207</v>
      </c>
      <c r="C606" s="98" t="s">
        <v>12</v>
      </c>
      <c r="E606"/>
      <c r="F606" t="s">
        <v>1175</v>
      </c>
      <c r="G606"/>
      <c r="H606"/>
      <c r="I606"/>
      <c r="J606"/>
      <c r="K606"/>
      <c r="L606"/>
      <c r="M606"/>
      <c r="N606"/>
      <c r="O606"/>
      <c r="P606"/>
      <c r="Q606"/>
      <c r="R606"/>
      <c r="S606"/>
      <c r="T606"/>
      <c r="U606"/>
      <c r="V606"/>
      <c r="W606"/>
      <c r="X606"/>
      <c r="Y606"/>
      <c r="Z606"/>
      <c r="AA606"/>
      <c r="AB606"/>
      <c r="AC606"/>
      <c r="AD606"/>
      <c r="AE606"/>
      <c r="AF606"/>
      <c r="AG606"/>
      <c r="AH606"/>
      <c r="AI606"/>
      <c r="AJ606"/>
      <c r="AK606"/>
      <c r="AL606"/>
    </row>
    <row r="607" spans="1:38" ht="15.75" customHeight="1">
      <c r="A607" s="98" t="s">
        <v>1188</v>
      </c>
      <c r="B607" s="98" t="s">
        <v>1208</v>
      </c>
      <c r="C607" s="98" t="s">
        <v>12</v>
      </c>
      <c r="E607"/>
      <c r="F607" t="s">
        <v>1176</v>
      </c>
      <c r="G607"/>
      <c r="H607"/>
      <c r="I607"/>
      <c r="J607"/>
      <c r="K607"/>
      <c r="L607"/>
      <c r="M607"/>
      <c r="N607"/>
      <c r="O607"/>
      <c r="P607"/>
      <c r="Q607"/>
      <c r="R607"/>
      <c r="S607"/>
      <c r="T607"/>
      <c r="U607"/>
      <c r="V607"/>
      <c r="W607"/>
      <c r="X607"/>
      <c r="Y607"/>
      <c r="Z607"/>
      <c r="AA607"/>
      <c r="AB607"/>
      <c r="AC607"/>
      <c r="AD607"/>
      <c r="AE607"/>
      <c r="AF607"/>
      <c r="AG607"/>
      <c r="AH607"/>
      <c r="AI607"/>
      <c r="AJ607"/>
      <c r="AK607"/>
      <c r="AL607"/>
    </row>
    <row r="608" spans="1:38" ht="15.75" customHeight="1">
      <c r="A608" s="98" t="s">
        <v>1188</v>
      </c>
      <c r="B608" s="98" t="s">
        <v>1209</v>
      </c>
      <c r="C608" s="98" t="s">
        <v>12</v>
      </c>
      <c r="E608"/>
      <c r="F608" t="s">
        <v>1177</v>
      </c>
      <c r="G608"/>
      <c r="H608"/>
      <c r="I608"/>
      <c r="J608"/>
      <c r="K608"/>
      <c r="L608"/>
      <c r="M608"/>
      <c r="N608"/>
      <c r="O608"/>
      <c r="P608"/>
      <c r="Q608"/>
      <c r="R608"/>
      <c r="S608"/>
      <c r="T608"/>
      <c r="U608"/>
      <c r="V608"/>
      <c r="W608"/>
      <c r="X608"/>
      <c r="Y608"/>
      <c r="Z608"/>
      <c r="AA608"/>
      <c r="AB608"/>
      <c r="AC608"/>
      <c r="AD608"/>
      <c r="AE608"/>
      <c r="AF608"/>
      <c r="AG608"/>
      <c r="AH608"/>
      <c r="AI608"/>
      <c r="AJ608"/>
      <c r="AK608"/>
      <c r="AL608"/>
    </row>
    <row r="609" spans="1:38" ht="15.75" customHeight="1">
      <c r="A609" s="98" t="s">
        <v>1188</v>
      </c>
      <c r="B609" s="98" t="s">
        <v>1210</v>
      </c>
      <c r="C609" s="98" t="s">
        <v>12</v>
      </c>
      <c r="E609"/>
      <c r="F609" t="s">
        <v>1178</v>
      </c>
      <c r="G609"/>
      <c r="H609"/>
      <c r="I609"/>
      <c r="J609"/>
      <c r="K609"/>
      <c r="L609"/>
      <c r="M609"/>
      <c r="N609"/>
      <c r="O609"/>
      <c r="P609"/>
      <c r="Q609"/>
      <c r="R609"/>
      <c r="S609"/>
      <c r="T609"/>
      <c r="U609"/>
      <c r="V609"/>
      <c r="W609"/>
      <c r="X609"/>
      <c r="Y609"/>
      <c r="Z609"/>
      <c r="AA609"/>
      <c r="AB609"/>
      <c r="AC609"/>
      <c r="AD609"/>
      <c r="AE609"/>
      <c r="AF609"/>
      <c r="AG609"/>
      <c r="AH609"/>
      <c r="AI609"/>
      <c r="AJ609"/>
      <c r="AK609"/>
      <c r="AL609"/>
    </row>
    <row r="610" spans="1:38" ht="15.75" customHeight="1">
      <c r="A610" s="98" t="s">
        <v>1188</v>
      </c>
      <c r="B610" s="98" t="s">
        <v>1211</v>
      </c>
      <c r="C610" s="98" t="s">
        <v>12</v>
      </c>
      <c r="E610"/>
      <c r="F610" t="s">
        <v>1179</v>
      </c>
      <c r="G610"/>
      <c r="H610"/>
      <c r="I610"/>
      <c r="J610"/>
      <c r="K610"/>
      <c r="L610"/>
      <c r="M610"/>
      <c r="N610"/>
      <c r="O610"/>
      <c r="P610"/>
      <c r="Q610"/>
      <c r="R610"/>
      <c r="S610"/>
      <c r="T610"/>
      <c r="U610"/>
      <c r="V610"/>
      <c r="W610"/>
      <c r="X610"/>
      <c r="Y610"/>
      <c r="Z610"/>
      <c r="AA610"/>
      <c r="AB610"/>
      <c r="AC610"/>
      <c r="AD610"/>
      <c r="AE610"/>
      <c r="AF610"/>
      <c r="AG610"/>
      <c r="AH610"/>
      <c r="AI610"/>
      <c r="AJ610"/>
      <c r="AK610"/>
      <c r="AL610"/>
    </row>
    <row r="611" spans="1:38" ht="15.75" customHeight="1">
      <c r="A611" s="98" t="s">
        <v>1188</v>
      </c>
      <c r="B611" s="98" t="s">
        <v>1212</v>
      </c>
      <c r="C611" s="98" t="s">
        <v>12</v>
      </c>
      <c r="E611"/>
      <c r="F611" t="s">
        <v>1180</v>
      </c>
      <c r="G611"/>
      <c r="H611"/>
      <c r="I611"/>
      <c r="J611"/>
      <c r="K611"/>
      <c r="L611"/>
      <c r="M611"/>
      <c r="N611"/>
      <c r="O611"/>
      <c r="P611"/>
      <c r="Q611"/>
      <c r="R611"/>
      <c r="S611"/>
      <c r="T611"/>
      <c r="U611"/>
      <c r="V611"/>
      <c r="W611"/>
      <c r="X611"/>
      <c r="Y611"/>
      <c r="Z611"/>
      <c r="AA611"/>
      <c r="AB611"/>
      <c r="AC611"/>
      <c r="AD611"/>
      <c r="AE611"/>
      <c r="AF611"/>
      <c r="AG611"/>
      <c r="AH611"/>
      <c r="AI611"/>
      <c r="AJ611"/>
      <c r="AK611"/>
      <c r="AL611"/>
    </row>
    <row r="612" spans="1:38" ht="15.75" customHeight="1">
      <c r="A612" s="98" t="s">
        <v>1188</v>
      </c>
      <c r="B612" s="98" t="s">
        <v>1213</v>
      </c>
      <c r="C612" s="98" t="s">
        <v>12</v>
      </c>
      <c r="E612"/>
      <c r="F612" t="s">
        <v>1181</v>
      </c>
      <c r="G612"/>
      <c r="H612"/>
      <c r="I612"/>
      <c r="J612"/>
      <c r="K612"/>
      <c r="L612"/>
      <c r="M612"/>
      <c r="N612"/>
      <c r="O612"/>
      <c r="P612"/>
      <c r="Q612"/>
      <c r="R612"/>
      <c r="S612"/>
      <c r="T612"/>
      <c r="U612"/>
      <c r="V612"/>
      <c r="W612"/>
      <c r="X612"/>
      <c r="Y612"/>
      <c r="Z612"/>
      <c r="AA612"/>
      <c r="AB612"/>
      <c r="AC612"/>
      <c r="AD612"/>
      <c r="AE612"/>
      <c r="AF612"/>
      <c r="AG612"/>
      <c r="AH612"/>
      <c r="AI612"/>
      <c r="AJ612"/>
      <c r="AK612"/>
      <c r="AL612"/>
    </row>
    <row r="613" spans="1:38" ht="15.75" customHeight="1">
      <c r="A613" s="98" t="s">
        <v>1188</v>
      </c>
      <c r="B613" s="98" t="s">
        <v>1214</v>
      </c>
      <c r="C613" s="98" t="s">
        <v>12</v>
      </c>
      <c r="E613"/>
      <c r="F613" t="s">
        <v>1182</v>
      </c>
      <c r="G613"/>
      <c r="H613"/>
      <c r="I613"/>
      <c r="J613"/>
      <c r="K613"/>
      <c r="L613"/>
      <c r="M613"/>
      <c r="N613"/>
      <c r="O613"/>
      <c r="P613"/>
      <c r="Q613"/>
      <c r="R613"/>
      <c r="S613"/>
      <c r="T613"/>
      <c r="U613"/>
      <c r="V613"/>
      <c r="W613"/>
      <c r="X613"/>
      <c r="Y613"/>
      <c r="Z613"/>
      <c r="AA613"/>
      <c r="AB613"/>
      <c r="AC613"/>
      <c r="AD613"/>
      <c r="AE613"/>
      <c r="AF613"/>
      <c r="AG613"/>
      <c r="AH613"/>
      <c r="AI613"/>
      <c r="AJ613"/>
      <c r="AK613"/>
      <c r="AL613"/>
    </row>
    <row r="614" spans="1:38" ht="15.75" customHeight="1">
      <c r="A614" s="98" t="s">
        <v>1188</v>
      </c>
      <c r="B614" s="98" t="s">
        <v>1215</v>
      </c>
      <c r="C614" s="98" t="s">
        <v>12</v>
      </c>
      <c r="E614"/>
      <c r="F614" t="s">
        <v>1183</v>
      </c>
      <c r="G614"/>
      <c r="H614"/>
      <c r="I614"/>
      <c r="J614"/>
      <c r="K614"/>
      <c r="L614"/>
      <c r="M614"/>
      <c r="N614"/>
      <c r="O614"/>
      <c r="P614"/>
      <c r="Q614"/>
      <c r="R614"/>
      <c r="S614"/>
      <c r="T614"/>
      <c r="U614"/>
      <c r="V614"/>
      <c r="W614"/>
      <c r="X614"/>
      <c r="Y614"/>
      <c r="Z614"/>
      <c r="AA614"/>
      <c r="AB614"/>
      <c r="AC614"/>
      <c r="AD614"/>
      <c r="AE614"/>
      <c r="AF614"/>
      <c r="AG614"/>
      <c r="AH614"/>
      <c r="AI614"/>
      <c r="AJ614"/>
      <c r="AK614"/>
      <c r="AL614"/>
    </row>
    <row r="615" spans="1:38" ht="15.75" customHeight="1">
      <c r="A615" s="98" t="s">
        <v>1188</v>
      </c>
      <c r="B615" s="98" t="s">
        <v>1216</v>
      </c>
      <c r="C615" s="98" t="s">
        <v>12</v>
      </c>
      <c r="E615"/>
      <c r="F615" t="s">
        <v>1184</v>
      </c>
      <c r="G615"/>
      <c r="H615"/>
      <c r="I615"/>
      <c r="J615"/>
      <c r="K615"/>
      <c r="L615"/>
      <c r="M615"/>
      <c r="N615"/>
      <c r="O615"/>
      <c r="P615"/>
      <c r="Q615"/>
      <c r="R615"/>
      <c r="S615"/>
      <c r="T615"/>
      <c r="U615"/>
      <c r="V615"/>
      <c r="W615"/>
      <c r="X615"/>
      <c r="Y615"/>
      <c r="Z615"/>
      <c r="AA615"/>
      <c r="AB615"/>
      <c r="AC615"/>
      <c r="AD615"/>
      <c r="AE615"/>
      <c r="AF615"/>
      <c r="AG615"/>
      <c r="AH615"/>
      <c r="AI615"/>
      <c r="AJ615"/>
      <c r="AK615"/>
      <c r="AL615"/>
    </row>
    <row r="616" spans="1:38" ht="15.75" customHeight="1">
      <c r="A616" s="98" t="s">
        <v>1188</v>
      </c>
      <c r="B616" s="98" t="s">
        <v>1217</v>
      </c>
      <c r="C616" s="98" t="s">
        <v>12</v>
      </c>
      <c r="E616"/>
      <c r="F616" t="s">
        <v>1185</v>
      </c>
      <c r="G616"/>
      <c r="H616"/>
      <c r="I616"/>
      <c r="J616"/>
      <c r="K616"/>
      <c r="L616"/>
      <c r="M616"/>
      <c r="N616"/>
      <c r="O616"/>
      <c r="P616"/>
      <c r="Q616"/>
      <c r="R616"/>
      <c r="S616"/>
      <c r="T616"/>
      <c r="U616"/>
      <c r="V616"/>
      <c r="W616"/>
      <c r="X616"/>
      <c r="Y616"/>
      <c r="Z616"/>
      <c r="AA616"/>
      <c r="AB616"/>
      <c r="AC616"/>
      <c r="AD616"/>
      <c r="AE616"/>
      <c r="AF616"/>
      <c r="AG616"/>
      <c r="AH616"/>
      <c r="AI616"/>
      <c r="AJ616"/>
      <c r="AK616"/>
      <c r="AL616"/>
    </row>
    <row r="617" spans="1:38" ht="15.75" customHeight="1">
      <c r="A617" s="98" t="s">
        <v>1188</v>
      </c>
      <c r="B617" s="98" t="s">
        <v>1218</v>
      </c>
      <c r="C617" s="98" t="s">
        <v>12</v>
      </c>
      <c r="E617"/>
      <c r="F617" t="s">
        <v>1186</v>
      </c>
      <c r="G617"/>
      <c r="H617"/>
      <c r="I617"/>
      <c r="J617"/>
      <c r="K617"/>
      <c r="L617"/>
      <c r="M617"/>
      <c r="N617"/>
      <c r="O617"/>
      <c r="P617"/>
      <c r="Q617"/>
      <c r="R617"/>
      <c r="S617"/>
      <c r="T617"/>
      <c r="U617"/>
      <c r="V617"/>
      <c r="W617"/>
      <c r="X617"/>
      <c r="Y617"/>
      <c r="Z617"/>
      <c r="AA617"/>
      <c r="AB617"/>
      <c r="AC617"/>
      <c r="AD617"/>
      <c r="AE617"/>
      <c r="AF617"/>
      <c r="AG617"/>
      <c r="AH617"/>
      <c r="AI617"/>
      <c r="AJ617"/>
      <c r="AK617"/>
      <c r="AL617"/>
    </row>
    <row r="618" spans="1:38" ht="15.75" customHeight="1">
      <c r="A618" s="98" t="s">
        <v>1188</v>
      </c>
      <c r="B618" s="98" t="s">
        <v>1219</v>
      </c>
      <c r="C618" s="98" t="s">
        <v>12</v>
      </c>
      <c r="E618"/>
      <c r="F618" t="s">
        <v>1187</v>
      </c>
      <c r="G618"/>
      <c r="H618"/>
      <c r="I618"/>
      <c r="J618"/>
      <c r="K618"/>
      <c r="L618"/>
      <c r="M618"/>
      <c r="N618"/>
      <c r="O618"/>
      <c r="P618"/>
      <c r="Q618"/>
      <c r="R618"/>
      <c r="S618"/>
      <c r="T618"/>
      <c r="U618"/>
      <c r="V618"/>
      <c r="W618"/>
      <c r="X618"/>
      <c r="Y618"/>
      <c r="Z618"/>
      <c r="AA618"/>
      <c r="AB618"/>
      <c r="AC618"/>
      <c r="AD618"/>
      <c r="AE618"/>
      <c r="AF618"/>
      <c r="AG618"/>
      <c r="AH618"/>
      <c r="AI618"/>
      <c r="AJ618"/>
      <c r="AK618"/>
      <c r="AL618"/>
    </row>
    <row r="619" spans="1:38" ht="15.75" customHeight="1">
      <c r="A619" s="98" t="s">
        <v>1188</v>
      </c>
      <c r="B619" s="98" t="s">
        <v>1220</v>
      </c>
      <c r="C619" s="98" t="s">
        <v>12</v>
      </c>
      <c r="E619" t="s">
        <v>1374</v>
      </c>
      <c r="F619"/>
      <c r="G619"/>
      <c r="H619"/>
      <c r="I619"/>
      <c r="J619"/>
      <c r="K619"/>
      <c r="L619"/>
      <c r="M619"/>
      <c r="N619"/>
      <c r="O619"/>
      <c r="P619"/>
      <c r="Q619"/>
      <c r="R619"/>
      <c r="S619"/>
      <c r="T619"/>
      <c r="U619"/>
      <c r="V619"/>
      <c r="W619"/>
      <c r="X619"/>
      <c r="Y619"/>
      <c r="Z619"/>
      <c r="AA619"/>
      <c r="AB619"/>
      <c r="AC619"/>
      <c r="AD619"/>
      <c r="AE619"/>
      <c r="AF619"/>
      <c r="AG619"/>
      <c r="AH619"/>
      <c r="AI619"/>
      <c r="AJ619"/>
      <c r="AK619"/>
      <c r="AL619"/>
    </row>
    <row r="620" spans="1:38" ht="15.75" customHeight="1">
      <c r="A620" s="98" t="s">
        <v>1188</v>
      </c>
      <c r="B620" s="98" t="s">
        <v>1221</v>
      </c>
      <c r="C620" s="98" t="s">
        <v>12</v>
      </c>
      <c r="E620" t="s">
        <v>1188</v>
      </c>
      <c r="F620" t="s">
        <v>1189</v>
      </c>
      <c r="G620"/>
      <c r="H620"/>
      <c r="I620"/>
      <c r="J620"/>
      <c r="K620"/>
      <c r="L620"/>
      <c r="M620"/>
      <c r="N620"/>
      <c r="O620"/>
      <c r="P620"/>
      <c r="Q620"/>
      <c r="R620"/>
      <c r="S620"/>
      <c r="T620"/>
      <c r="U620"/>
      <c r="V620"/>
      <c r="W620"/>
      <c r="X620"/>
      <c r="Y620"/>
      <c r="Z620"/>
      <c r="AA620"/>
      <c r="AB620"/>
      <c r="AC620"/>
      <c r="AD620"/>
      <c r="AE620"/>
      <c r="AF620"/>
      <c r="AG620"/>
      <c r="AH620"/>
      <c r="AI620"/>
      <c r="AJ620"/>
      <c r="AK620"/>
      <c r="AL620"/>
    </row>
    <row r="621" spans="1:38" ht="15.75" customHeight="1">
      <c r="A621" s="98" t="s">
        <v>1222</v>
      </c>
      <c r="B621" s="98" t="s">
        <v>1223</v>
      </c>
      <c r="C621" s="98" t="s">
        <v>12</v>
      </c>
      <c r="E621"/>
      <c r="F621" t="s">
        <v>1190</v>
      </c>
      <c r="G621"/>
      <c r="H621"/>
      <c r="I621"/>
      <c r="J621"/>
      <c r="K621"/>
      <c r="L621"/>
      <c r="M621"/>
      <c r="N621"/>
      <c r="O621"/>
      <c r="P621"/>
      <c r="Q621"/>
      <c r="R621"/>
      <c r="S621"/>
      <c r="T621"/>
      <c r="U621"/>
      <c r="V621"/>
      <c r="W621"/>
      <c r="X621"/>
      <c r="Y621"/>
      <c r="Z621"/>
      <c r="AA621"/>
      <c r="AB621"/>
      <c r="AC621"/>
      <c r="AD621"/>
      <c r="AE621"/>
      <c r="AF621"/>
      <c r="AG621"/>
      <c r="AH621"/>
      <c r="AI621"/>
      <c r="AJ621"/>
      <c r="AK621"/>
      <c r="AL621"/>
    </row>
    <row r="622" spans="1:38" ht="15.75" customHeight="1">
      <c r="A622" s="98" t="s">
        <v>1222</v>
      </c>
      <c r="B622" s="98" t="s">
        <v>1224</v>
      </c>
      <c r="C622" s="98" t="s">
        <v>12</v>
      </c>
      <c r="E622"/>
      <c r="F622" t="s">
        <v>1191</v>
      </c>
      <c r="G622"/>
      <c r="H622"/>
      <c r="I622"/>
      <c r="J622"/>
      <c r="K622"/>
      <c r="L622"/>
      <c r="M622"/>
      <c r="N622"/>
      <c r="O622"/>
      <c r="P622"/>
      <c r="Q622"/>
      <c r="R622"/>
      <c r="S622"/>
      <c r="T622"/>
      <c r="U622"/>
      <c r="V622"/>
      <c r="W622"/>
      <c r="X622"/>
      <c r="Y622"/>
      <c r="Z622"/>
      <c r="AA622"/>
      <c r="AB622"/>
      <c r="AC622"/>
      <c r="AD622"/>
      <c r="AE622"/>
      <c r="AF622"/>
      <c r="AG622"/>
      <c r="AH622"/>
      <c r="AI622"/>
      <c r="AJ622"/>
      <c r="AK622"/>
      <c r="AL622"/>
    </row>
    <row r="623" spans="1:38" ht="15.75" customHeight="1">
      <c r="A623" s="98" t="s">
        <v>1222</v>
      </c>
      <c r="B623" s="98" t="s">
        <v>1225</v>
      </c>
      <c r="C623" s="98" t="s">
        <v>12</v>
      </c>
      <c r="E623"/>
      <c r="F623" t="s">
        <v>1192</v>
      </c>
      <c r="G623"/>
      <c r="H623"/>
      <c r="I623"/>
      <c r="J623"/>
      <c r="K623"/>
      <c r="L623"/>
      <c r="M623"/>
      <c r="N623"/>
      <c r="O623"/>
      <c r="P623"/>
      <c r="Q623"/>
      <c r="R623"/>
      <c r="S623"/>
      <c r="T623"/>
      <c r="U623"/>
      <c r="V623"/>
      <c r="W623"/>
      <c r="X623"/>
      <c r="Y623"/>
      <c r="Z623"/>
      <c r="AA623"/>
      <c r="AB623"/>
      <c r="AC623"/>
      <c r="AD623"/>
      <c r="AE623"/>
      <c r="AF623"/>
      <c r="AG623"/>
      <c r="AH623"/>
      <c r="AI623"/>
      <c r="AJ623"/>
      <c r="AK623"/>
      <c r="AL623"/>
    </row>
    <row r="624" spans="1:38" ht="15.75" customHeight="1">
      <c r="A624" s="98" t="s">
        <v>1222</v>
      </c>
      <c r="B624" s="98" t="s">
        <v>1226</v>
      </c>
      <c r="C624" s="98" t="s">
        <v>12</v>
      </c>
      <c r="E624"/>
      <c r="F624" t="s">
        <v>1193</v>
      </c>
      <c r="G624"/>
      <c r="H624"/>
      <c r="I624"/>
      <c r="J624"/>
      <c r="K624"/>
      <c r="L624"/>
      <c r="M624"/>
      <c r="N624"/>
      <c r="O624"/>
      <c r="P624"/>
      <c r="Q624"/>
      <c r="R624"/>
      <c r="S624"/>
      <c r="T624"/>
      <c r="U624"/>
      <c r="V624"/>
      <c r="W624"/>
      <c r="X624"/>
      <c r="Y624"/>
      <c r="Z624"/>
      <c r="AA624"/>
      <c r="AB624"/>
      <c r="AC624"/>
      <c r="AD624"/>
      <c r="AE624"/>
      <c r="AF624"/>
      <c r="AG624"/>
      <c r="AH624"/>
      <c r="AI624"/>
      <c r="AJ624"/>
      <c r="AK624"/>
      <c r="AL624"/>
    </row>
    <row r="625" spans="1:38" ht="15.75" customHeight="1">
      <c r="A625" s="98" t="s">
        <v>1222</v>
      </c>
      <c r="B625" s="98" t="s">
        <v>1227</v>
      </c>
      <c r="C625" s="98" t="s">
        <v>12</v>
      </c>
      <c r="E625"/>
      <c r="F625" t="s">
        <v>1194</v>
      </c>
      <c r="G625"/>
      <c r="H625"/>
      <c r="I625"/>
      <c r="J625"/>
      <c r="K625"/>
      <c r="L625"/>
      <c r="M625"/>
      <c r="N625"/>
      <c r="O625"/>
      <c r="P625"/>
      <c r="Q625"/>
      <c r="R625"/>
      <c r="S625"/>
      <c r="T625"/>
      <c r="U625"/>
      <c r="V625"/>
      <c r="W625"/>
      <c r="X625"/>
      <c r="Y625"/>
      <c r="Z625"/>
      <c r="AA625"/>
      <c r="AB625"/>
      <c r="AC625"/>
      <c r="AD625"/>
      <c r="AE625"/>
      <c r="AF625"/>
      <c r="AG625"/>
      <c r="AH625"/>
      <c r="AI625"/>
      <c r="AJ625"/>
      <c r="AK625"/>
      <c r="AL625"/>
    </row>
    <row r="626" spans="1:38" ht="15.75" customHeight="1">
      <c r="A626" s="98" t="s">
        <v>1222</v>
      </c>
      <c r="B626" s="98" t="s">
        <v>1228</v>
      </c>
      <c r="C626" s="98" t="s">
        <v>12</v>
      </c>
      <c r="E626"/>
      <c r="F626" t="s">
        <v>1195</v>
      </c>
      <c r="G626"/>
      <c r="H626"/>
      <c r="I626"/>
      <c r="J626"/>
      <c r="K626"/>
      <c r="L626"/>
      <c r="M626"/>
      <c r="N626"/>
      <c r="O626"/>
      <c r="P626"/>
      <c r="Q626"/>
      <c r="R626"/>
      <c r="S626"/>
      <c r="T626"/>
      <c r="U626"/>
      <c r="V626"/>
      <c r="W626"/>
      <c r="X626"/>
      <c r="Y626"/>
      <c r="Z626"/>
      <c r="AA626"/>
      <c r="AB626"/>
      <c r="AC626"/>
      <c r="AD626"/>
      <c r="AE626"/>
      <c r="AF626"/>
      <c r="AG626"/>
      <c r="AH626"/>
      <c r="AI626"/>
      <c r="AJ626"/>
      <c r="AK626"/>
      <c r="AL626"/>
    </row>
    <row r="627" spans="1:38" ht="15.75" customHeight="1">
      <c r="A627" s="98" t="s">
        <v>1222</v>
      </c>
      <c r="B627" s="98" t="s">
        <v>1229</v>
      </c>
      <c r="C627" s="98" t="s">
        <v>12</v>
      </c>
      <c r="E627"/>
      <c r="F627" t="s">
        <v>1196</v>
      </c>
      <c r="G627"/>
      <c r="H627"/>
      <c r="I627"/>
      <c r="J627"/>
      <c r="K627"/>
      <c r="L627"/>
      <c r="M627"/>
      <c r="N627"/>
      <c r="O627"/>
      <c r="P627"/>
      <c r="Q627"/>
      <c r="R627"/>
      <c r="S627"/>
      <c r="T627"/>
      <c r="U627"/>
      <c r="V627"/>
      <c r="W627"/>
      <c r="X627"/>
      <c r="Y627"/>
      <c r="Z627"/>
      <c r="AA627"/>
      <c r="AB627"/>
      <c r="AC627"/>
      <c r="AD627"/>
      <c r="AE627"/>
      <c r="AF627"/>
      <c r="AG627"/>
      <c r="AH627"/>
      <c r="AI627"/>
      <c r="AJ627"/>
      <c r="AK627"/>
      <c r="AL627"/>
    </row>
    <row r="628" spans="1:38" ht="15.75" customHeight="1">
      <c r="A628" s="98" t="s">
        <v>1222</v>
      </c>
      <c r="B628" s="98" t="s">
        <v>1230</v>
      </c>
      <c r="C628" s="98" t="s">
        <v>12</v>
      </c>
      <c r="E628"/>
      <c r="F628" t="s">
        <v>1197</v>
      </c>
      <c r="G628"/>
      <c r="H628"/>
      <c r="I628"/>
      <c r="J628"/>
      <c r="K628"/>
      <c r="L628"/>
      <c r="M628"/>
      <c r="N628"/>
      <c r="O628"/>
      <c r="P628"/>
      <c r="Q628"/>
      <c r="R628"/>
      <c r="S628"/>
      <c r="T628"/>
      <c r="U628"/>
      <c r="V628"/>
      <c r="W628"/>
      <c r="X628"/>
      <c r="Y628"/>
      <c r="Z628"/>
      <c r="AA628"/>
      <c r="AB628"/>
      <c r="AC628"/>
      <c r="AD628"/>
      <c r="AE628"/>
      <c r="AF628"/>
      <c r="AG628"/>
      <c r="AH628"/>
      <c r="AI628"/>
      <c r="AJ628"/>
      <c r="AK628"/>
      <c r="AL628"/>
    </row>
    <row r="629" spans="1:38" ht="15.75" customHeight="1">
      <c r="A629" s="98" t="s">
        <v>1231</v>
      </c>
      <c r="B629" s="98" t="s">
        <v>1232</v>
      </c>
      <c r="C629" s="98" t="s">
        <v>12</v>
      </c>
      <c r="E629"/>
      <c r="F629" t="s">
        <v>1198</v>
      </c>
      <c r="G629"/>
      <c r="H629"/>
      <c r="I629"/>
      <c r="J629"/>
      <c r="K629"/>
      <c r="L629"/>
      <c r="M629"/>
      <c r="N629"/>
      <c r="O629"/>
      <c r="P629"/>
      <c r="Q629"/>
      <c r="R629"/>
      <c r="S629"/>
      <c r="T629"/>
      <c r="U629"/>
      <c r="V629"/>
      <c r="W629"/>
      <c r="X629"/>
      <c r="Y629"/>
      <c r="Z629"/>
      <c r="AA629"/>
      <c r="AB629"/>
      <c r="AC629"/>
      <c r="AD629"/>
      <c r="AE629"/>
      <c r="AF629"/>
      <c r="AG629"/>
      <c r="AH629"/>
      <c r="AI629"/>
      <c r="AJ629"/>
      <c r="AK629"/>
      <c r="AL629"/>
    </row>
    <row r="630" spans="1:38" ht="15.75" customHeight="1">
      <c r="A630" s="98" t="s">
        <v>1231</v>
      </c>
      <c r="B630" s="98" t="s">
        <v>1233</v>
      </c>
      <c r="C630" s="98" t="s">
        <v>12</v>
      </c>
      <c r="E630"/>
      <c r="F630" t="s">
        <v>1199</v>
      </c>
      <c r="G630"/>
      <c r="H630"/>
      <c r="I630"/>
      <c r="J630"/>
      <c r="K630"/>
      <c r="L630"/>
      <c r="M630"/>
      <c r="N630"/>
      <c r="O630"/>
      <c r="P630"/>
      <c r="Q630"/>
      <c r="R630"/>
      <c r="S630"/>
      <c r="T630"/>
      <c r="U630"/>
      <c r="V630"/>
      <c r="W630"/>
      <c r="X630"/>
      <c r="Y630"/>
      <c r="Z630"/>
      <c r="AA630"/>
      <c r="AB630"/>
      <c r="AC630"/>
      <c r="AD630"/>
      <c r="AE630"/>
      <c r="AF630"/>
      <c r="AG630"/>
      <c r="AH630"/>
      <c r="AI630"/>
      <c r="AJ630"/>
      <c r="AK630"/>
      <c r="AL630"/>
    </row>
    <row r="631" spans="1:38" ht="15.75" customHeight="1">
      <c r="A631" s="98" t="s">
        <v>1231</v>
      </c>
      <c r="B631" s="98" t="s">
        <v>1234</v>
      </c>
      <c r="C631" s="98" t="s">
        <v>12</v>
      </c>
      <c r="E631"/>
      <c r="F631" t="s">
        <v>1200</v>
      </c>
      <c r="G631"/>
      <c r="H631"/>
      <c r="I631"/>
      <c r="J631"/>
      <c r="K631"/>
      <c r="L631"/>
      <c r="M631"/>
      <c r="N631"/>
      <c r="O631"/>
      <c r="P631"/>
      <c r="Q631"/>
      <c r="R631"/>
      <c r="S631"/>
      <c r="T631"/>
      <c r="U631"/>
      <c r="V631"/>
      <c r="W631"/>
      <c r="X631"/>
      <c r="Y631"/>
      <c r="Z631"/>
      <c r="AA631"/>
      <c r="AB631"/>
      <c r="AC631"/>
      <c r="AD631"/>
      <c r="AE631"/>
      <c r="AF631"/>
      <c r="AG631"/>
      <c r="AH631"/>
      <c r="AI631"/>
      <c r="AJ631"/>
      <c r="AK631"/>
      <c r="AL631"/>
    </row>
    <row r="632" spans="1:38" ht="15.75" customHeight="1">
      <c r="A632" s="98" t="s">
        <v>1231</v>
      </c>
      <c r="B632" s="98" t="s">
        <v>1235</v>
      </c>
      <c r="C632" s="98" t="s">
        <v>12</v>
      </c>
      <c r="E632"/>
      <c r="F632" t="s">
        <v>1201</v>
      </c>
      <c r="G632"/>
      <c r="H632"/>
      <c r="I632"/>
      <c r="J632"/>
      <c r="K632"/>
      <c r="L632"/>
      <c r="M632"/>
      <c r="N632"/>
      <c r="O632"/>
      <c r="P632"/>
      <c r="Q632"/>
      <c r="R632"/>
      <c r="S632"/>
      <c r="T632"/>
      <c r="U632"/>
      <c r="V632"/>
      <c r="W632"/>
      <c r="X632"/>
      <c r="Y632"/>
      <c r="Z632"/>
      <c r="AA632"/>
      <c r="AB632"/>
      <c r="AC632"/>
      <c r="AD632"/>
      <c r="AE632"/>
      <c r="AF632"/>
      <c r="AG632"/>
      <c r="AH632"/>
      <c r="AI632"/>
      <c r="AJ632"/>
      <c r="AK632"/>
      <c r="AL632"/>
    </row>
    <row r="633" spans="1:38" ht="15.75" customHeight="1">
      <c r="A633" s="98" t="s">
        <v>1231</v>
      </c>
      <c r="B633" s="98" t="s">
        <v>1236</v>
      </c>
      <c r="C633" s="98" t="s">
        <v>12</v>
      </c>
      <c r="E633"/>
      <c r="F633" t="s">
        <v>1202</v>
      </c>
      <c r="G633"/>
      <c r="H633"/>
      <c r="I633"/>
      <c r="J633"/>
      <c r="K633"/>
      <c r="L633"/>
      <c r="M633"/>
      <c r="N633"/>
      <c r="O633"/>
      <c r="P633"/>
      <c r="Q633"/>
      <c r="R633"/>
      <c r="S633"/>
      <c r="T633"/>
      <c r="U633"/>
      <c r="V633"/>
      <c r="W633"/>
      <c r="X633"/>
      <c r="Y633"/>
      <c r="Z633"/>
      <c r="AA633"/>
      <c r="AB633"/>
      <c r="AC633"/>
      <c r="AD633"/>
      <c r="AE633"/>
      <c r="AF633"/>
      <c r="AG633"/>
      <c r="AH633"/>
      <c r="AI633"/>
      <c r="AJ633"/>
      <c r="AK633"/>
      <c r="AL633"/>
    </row>
    <row r="634" spans="1:38" ht="15.75" customHeight="1">
      <c r="A634" s="98" t="s">
        <v>1231</v>
      </c>
      <c r="B634" s="98" t="s">
        <v>1237</v>
      </c>
      <c r="C634" s="98" t="s">
        <v>12</v>
      </c>
      <c r="E634"/>
      <c r="F634" t="s">
        <v>1203</v>
      </c>
      <c r="G634"/>
      <c r="H634"/>
      <c r="I634"/>
      <c r="J634"/>
      <c r="K634"/>
      <c r="L634"/>
      <c r="M634"/>
      <c r="N634"/>
      <c r="O634"/>
      <c r="P634"/>
      <c r="Q634"/>
      <c r="R634"/>
      <c r="S634"/>
      <c r="T634"/>
      <c r="U634"/>
      <c r="V634"/>
      <c r="W634"/>
      <c r="X634"/>
      <c r="Y634"/>
      <c r="Z634"/>
      <c r="AA634"/>
      <c r="AB634"/>
      <c r="AC634"/>
      <c r="AD634"/>
      <c r="AE634"/>
      <c r="AF634"/>
      <c r="AG634"/>
      <c r="AH634"/>
      <c r="AI634"/>
      <c r="AJ634"/>
      <c r="AK634"/>
      <c r="AL634"/>
    </row>
    <row r="635" spans="1:38" ht="15.75" customHeight="1">
      <c r="A635" s="98" t="s">
        <v>1231</v>
      </c>
      <c r="B635" s="98" t="s">
        <v>1238</v>
      </c>
      <c r="C635" s="98" t="s">
        <v>12</v>
      </c>
      <c r="E635"/>
      <c r="F635" t="s">
        <v>1204</v>
      </c>
      <c r="G635"/>
      <c r="H635"/>
      <c r="I635"/>
      <c r="J635"/>
      <c r="K635"/>
      <c r="L635"/>
      <c r="M635"/>
      <c r="N635"/>
      <c r="O635"/>
      <c r="P635"/>
      <c r="Q635"/>
      <c r="R635"/>
      <c r="S635"/>
      <c r="T635"/>
      <c r="U635"/>
      <c r="V635"/>
      <c r="W635"/>
      <c r="X635"/>
      <c r="Y635"/>
      <c r="Z635"/>
      <c r="AA635"/>
      <c r="AB635"/>
      <c r="AC635"/>
      <c r="AD635"/>
      <c r="AE635"/>
      <c r="AF635"/>
      <c r="AG635"/>
      <c r="AH635"/>
      <c r="AI635"/>
      <c r="AJ635"/>
      <c r="AK635"/>
      <c r="AL635"/>
    </row>
    <row r="636" spans="1:38" ht="15.75" customHeight="1">
      <c r="A636" s="98" t="s">
        <v>1231</v>
      </c>
      <c r="B636" s="98" t="s">
        <v>1239</v>
      </c>
      <c r="C636" s="98" t="s">
        <v>12</v>
      </c>
      <c r="E636"/>
      <c r="F636" t="s">
        <v>1205</v>
      </c>
      <c r="G636"/>
      <c r="H636"/>
      <c r="I636"/>
      <c r="J636"/>
      <c r="K636"/>
      <c r="L636"/>
      <c r="M636"/>
      <c r="N636"/>
      <c r="O636"/>
      <c r="P636"/>
      <c r="Q636"/>
      <c r="R636"/>
      <c r="S636"/>
      <c r="T636"/>
      <c r="U636"/>
      <c r="V636"/>
      <c r="W636"/>
      <c r="X636"/>
      <c r="Y636"/>
      <c r="Z636"/>
      <c r="AA636"/>
      <c r="AB636"/>
      <c r="AC636"/>
      <c r="AD636"/>
      <c r="AE636"/>
      <c r="AF636"/>
      <c r="AG636"/>
      <c r="AH636"/>
      <c r="AI636"/>
      <c r="AJ636"/>
      <c r="AK636"/>
      <c r="AL636"/>
    </row>
    <row r="637" spans="1:38" ht="15.75" customHeight="1">
      <c r="A637" s="98" t="s">
        <v>1231</v>
      </c>
      <c r="B637" s="98" t="s">
        <v>1240</v>
      </c>
      <c r="C637" s="98" t="s">
        <v>12</v>
      </c>
      <c r="E637"/>
      <c r="F637" t="s">
        <v>1206</v>
      </c>
      <c r="G637"/>
      <c r="H637"/>
      <c r="I637"/>
      <c r="J637"/>
      <c r="K637"/>
      <c r="L637"/>
      <c r="M637"/>
      <c r="N637"/>
      <c r="O637"/>
      <c r="P637"/>
      <c r="Q637"/>
      <c r="R637"/>
      <c r="S637"/>
      <c r="T637"/>
      <c r="U637"/>
      <c r="V637"/>
      <c r="W637"/>
      <c r="X637"/>
      <c r="Y637"/>
      <c r="Z637"/>
      <c r="AA637"/>
      <c r="AB637"/>
      <c r="AC637"/>
      <c r="AD637"/>
      <c r="AE637"/>
      <c r="AF637"/>
      <c r="AG637"/>
      <c r="AH637"/>
      <c r="AI637"/>
      <c r="AJ637"/>
      <c r="AK637"/>
      <c r="AL637"/>
    </row>
    <row r="638" spans="1:38" ht="15.75" customHeight="1">
      <c r="A638" s="98" t="s">
        <v>1231</v>
      </c>
      <c r="B638" s="98" t="s">
        <v>1241</v>
      </c>
      <c r="C638" s="98" t="s">
        <v>12</v>
      </c>
      <c r="E638"/>
      <c r="F638" t="s">
        <v>1207</v>
      </c>
      <c r="G638"/>
      <c r="H638"/>
      <c r="I638"/>
      <c r="J638"/>
      <c r="K638"/>
      <c r="L638"/>
      <c r="M638"/>
      <c r="N638"/>
      <c r="O638"/>
      <c r="P638"/>
      <c r="Q638"/>
      <c r="R638"/>
      <c r="S638"/>
      <c r="T638"/>
      <c r="U638"/>
      <c r="V638"/>
      <c r="W638"/>
      <c r="X638"/>
      <c r="Y638"/>
      <c r="Z638"/>
      <c r="AA638"/>
      <c r="AB638"/>
      <c r="AC638"/>
      <c r="AD638"/>
      <c r="AE638"/>
      <c r="AF638"/>
      <c r="AG638"/>
      <c r="AH638"/>
      <c r="AI638"/>
      <c r="AJ638"/>
      <c r="AK638"/>
      <c r="AL638"/>
    </row>
    <row r="639" spans="1:38" ht="15.75" customHeight="1">
      <c r="A639" s="98" t="s">
        <v>1231</v>
      </c>
      <c r="B639" s="98" t="s">
        <v>1242</v>
      </c>
      <c r="C639" s="98" t="s">
        <v>12</v>
      </c>
      <c r="E639"/>
      <c r="F639" t="s">
        <v>1208</v>
      </c>
      <c r="G639"/>
      <c r="H639"/>
      <c r="I639"/>
      <c r="J639"/>
      <c r="K639"/>
      <c r="L639"/>
      <c r="M639"/>
      <c r="N639"/>
      <c r="O639"/>
      <c r="P639"/>
      <c r="Q639"/>
      <c r="R639"/>
      <c r="S639"/>
      <c r="T639"/>
      <c r="U639"/>
      <c r="V639"/>
      <c r="W639"/>
      <c r="X639"/>
      <c r="Y639"/>
      <c r="Z639"/>
      <c r="AA639"/>
      <c r="AB639"/>
      <c r="AC639"/>
      <c r="AD639"/>
      <c r="AE639"/>
      <c r="AF639"/>
      <c r="AG639"/>
      <c r="AH639"/>
      <c r="AI639"/>
      <c r="AJ639"/>
      <c r="AK639"/>
      <c r="AL639"/>
    </row>
    <row r="640" spans="1:38" ht="15.75" customHeight="1">
      <c r="A640" s="98" t="s">
        <v>1231</v>
      </c>
      <c r="B640" s="98" t="s">
        <v>700</v>
      </c>
      <c r="C640" s="98" t="s">
        <v>12</v>
      </c>
      <c r="E640"/>
      <c r="F640" t="s">
        <v>1209</v>
      </c>
      <c r="G640"/>
      <c r="H640"/>
      <c r="I640"/>
      <c r="J640"/>
      <c r="K640"/>
      <c r="L640"/>
      <c r="M640"/>
      <c r="N640"/>
      <c r="O640"/>
      <c r="P640"/>
      <c r="Q640"/>
      <c r="R640"/>
      <c r="S640"/>
      <c r="T640"/>
      <c r="U640"/>
      <c r="V640"/>
      <c r="W640"/>
      <c r="X640"/>
      <c r="Y640"/>
      <c r="Z640"/>
      <c r="AA640"/>
      <c r="AB640"/>
      <c r="AC640"/>
      <c r="AD640"/>
      <c r="AE640"/>
      <c r="AF640"/>
      <c r="AG640"/>
      <c r="AH640"/>
      <c r="AI640"/>
      <c r="AJ640"/>
      <c r="AK640"/>
      <c r="AL640"/>
    </row>
    <row r="641" spans="1:38" ht="15.75" customHeight="1">
      <c r="A641" s="98" t="s">
        <v>1231</v>
      </c>
      <c r="B641" s="98" t="s">
        <v>1243</v>
      </c>
      <c r="C641" s="98" t="s">
        <v>12</v>
      </c>
      <c r="E641"/>
      <c r="F641" t="s">
        <v>1210</v>
      </c>
      <c r="G641"/>
      <c r="H641"/>
      <c r="I641"/>
      <c r="J641"/>
      <c r="K641"/>
      <c r="L641"/>
      <c r="M641"/>
      <c r="N641"/>
      <c r="O641"/>
      <c r="P641"/>
      <c r="Q641"/>
      <c r="R641"/>
      <c r="S641"/>
      <c r="T641"/>
      <c r="U641"/>
      <c r="V641"/>
      <c r="W641"/>
      <c r="X641"/>
      <c r="Y641"/>
      <c r="Z641"/>
      <c r="AA641"/>
      <c r="AB641"/>
      <c r="AC641"/>
      <c r="AD641"/>
      <c r="AE641"/>
      <c r="AF641"/>
      <c r="AG641"/>
      <c r="AH641"/>
      <c r="AI641"/>
      <c r="AJ641"/>
      <c r="AK641"/>
      <c r="AL641"/>
    </row>
    <row r="642" spans="1:38" ht="15.75" customHeight="1">
      <c r="A642" s="98" t="s">
        <v>1231</v>
      </c>
      <c r="B642" s="98" t="s">
        <v>1244</v>
      </c>
      <c r="C642" s="98" t="s">
        <v>12</v>
      </c>
      <c r="E642"/>
      <c r="F642" t="s">
        <v>1211</v>
      </c>
      <c r="G642"/>
      <c r="H642"/>
      <c r="I642"/>
      <c r="J642"/>
      <c r="K642"/>
      <c r="L642"/>
      <c r="M642"/>
      <c r="N642"/>
      <c r="O642"/>
      <c r="P642"/>
      <c r="Q642"/>
      <c r="R642"/>
      <c r="S642"/>
      <c r="T642"/>
      <c r="U642"/>
      <c r="V642"/>
      <c r="W642"/>
      <c r="X642"/>
      <c r="Y642"/>
      <c r="Z642"/>
      <c r="AA642"/>
      <c r="AB642"/>
      <c r="AC642"/>
      <c r="AD642"/>
      <c r="AE642"/>
      <c r="AF642"/>
      <c r="AG642"/>
      <c r="AH642"/>
      <c r="AI642"/>
      <c r="AJ642"/>
      <c r="AK642"/>
      <c r="AL642"/>
    </row>
    <row r="643" spans="1:38" ht="15.75" customHeight="1">
      <c r="A643" s="98" t="s">
        <v>1231</v>
      </c>
      <c r="B643" s="98" t="s">
        <v>1245</v>
      </c>
      <c r="C643" s="98" t="s">
        <v>12</v>
      </c>
      <c r="E643"/>
      <c r="F643" t="s">
        <v>1212</v>
      </c>
      <c r="G643"/>
      <c r="H643"/>
      <c r="I643"/>
      <c r="J643"/>
      <c r="K643"/>
      <c r="L643"/>
      <c r="M643"/>
      <c r="N643"/>
      <c r="O643"/>
      <c r="P643"/>
      <c r="Q643"/>
      <c r="R643"/>
      <c r="S643"/>
      <c r="T643"/>
      <c r="U643"/>
      <c r="V643"/>
      <c r="W643"/>
      <c r="X643"/>
      <c r="Y643"/>
      <c r="Z643"/>
      <c r="AA643"/>
      <c r="AB643"/>
      <c r="AC643"/>
      <c r="AD643"/>
      <c r="AE643"/>
      <c r="AF643"/>
      <c r="AG643"/>
      <c r="AH643"/>
      <c r="AI643"/>
      <c r="AJ643"/>
      <c r="AK643"/>
      <c r="AL643"/>
    </row>
    <row r="644" spans="1:38" ht="15.75" customHeight="1">
      <c r="A644" s="98" t="s">
        <v>1231</v>
      </c>
      <c r="B644" s="98" t="s">
        <v>1246</v>
      </c>
      <c r="C644" s="98" t="s">
        <v>12</v>
      </c>
      <c r="E644"/>
      <c r="F644" t="s">
        <v>1213</v>
      </c>
      <c r="G644"/>
      <c r="H644"/>
      <c r="I644"/>
      <c r="J644"/>
      <c r="K644"/>
      <c r="L644"/>
      <c r="M644"/>
      <c r="N644"/>
      <c r="O644"/>
      <c r="P644"/>
      <c r="Q644"/>
      <c r="R644"/>
      <c r="S644"/>
      <c r="T644"/>
      <c r="U644"/>
      <c r="V644"/>
      <c r="W644"/>
      <c r="X644"/>
      <c r="Y644"/>
      <c r="Z644"/>
      <c r="AA644"/>
      <c r="AB644"/>
      <c r="AC644"/>
      <c r="AD644"/>
      <c r="AE644"/>
      <c r="AF644"/>
      <c r="AG644"/>
      <c r="AH644"/>
      <c r="AI644"/>
      <c r="AJ644"/>
      <c r="AK644"/>
      <c r="AL644"/>
    </row>
    <row r="645" spans="1:38" ht="15.75" customHeight="1">
      <c r="A645" s="98" t="s">
        <v>1231</v>
      </c>
      <c r="B645" s="98" t="s">
        <v>1247</v>
      </c>
      <c r="C645" s="98" t="s">
        <v>12</v>
      </c>
      <c r="E645"/>
      <c r="F645" t="s">
        <v>1214</v>
      </c>
      <c r="G645"/>
      <c r="H645"/>
      <c r="I645"/>
      <c r="J645"/>
      <c r="K645"/>
      <c r="L645"/>
      <c r="M645"/>
      <c r="N645"/>
      <c r="O645"/>
      <c r="P645"/>
      <c r="Q645"/>
      <c r="R645"/>
      <c r="S645"/>
      <c r="T645"/>
      <c r="U645"/>
      <c r="V645"/>
      <c r="W645"/>
      <c r="X645"/>
      <c r="Y645"/>
      <c r="Z645"/>
      <c r="AA645"/>
      <c r="AB645"/>
      <c r="AC645"/>
      <c r="AD645"/>
      <c r="AE645"/>
      <c r="AF645"/>
      <c r="AG645"/>
      <c r="AH645"/>
      <c r="AI645"/>
      <c r="AJ645"/>
      <c r="AK645"/>
      <c r="AL645"/>
    </row>
    <row r="646" spans="1:38" ht="15.75" customHeight="1">
      <c r="A646" s="98" t="s">
        <v>1231</v>
      </c>
      <c r="B646" s="98" t="s">
        <v>1248</v>
      </c>
      <c r="C646" s="98" t="s">
        <v>12</v>
      </c>
      <c r="E646"/>
      <c r="F646" t="s">
        <v>1215</v>
      </c>
      <c r="G646"/>
      <c r="H646"/>
      <c r="I646"/>
      <c r="J646"/>
      <c r="K646"/>
      <c r="L646"/>
      <c r="M646"/>
      <c r="N646"/>
      <c r="O646"/>
      <c r="P646"/>
      <c r="Q646"/>
      <c r="R646"/>
      <c r="S646"/>
      <c r="T646"/>
      <c r="U646"/>
      <c r="V646"/>
      <c r="W646"/>
      <c r="X646"/>
      <c r="Y646"/>
      <c r="Z646"/>
      <c r="AA646"/>
      <c r="AB646"/>
      <c r="AC646"/>
      <c r="AD646"/>
      <c r="AE646"/>
      <c r="AF646"/>
      <c r="AG646"/>
      <c r="AH646"/>
      <c r="AI646"/>
      <c r="AJ646"/>
      <c r="AK646"/>
      <c r="AL646"/>
    </row>
    <row r="647" spans="1:38" ht="15.75" customHeight="1">
      <c r="A647" s="98" t="s">
        <v>1231</v>
      </c>
      <c r="B647" s="98" t="s">
        <v>1249</v>
      </c>
      <c r="C647" s="98" t="s">
        <v>12</v>
      </c>
      <c r="E647"/>
      <c r="F647" t="s">
        <v>1216</v>
      </c>
      <c r="G647"/>
      <c r="H647"/>
      <c r="I647"/>
      <c r="J647"/>
      <c r="K647"/>
      <c r="L647"/>
      <c r="M647"/>
      <c r="N647"/>
      <c r="O647"/>
      <c r="P647"/>
      <c r="Q647"/>
      <c r="R647"/>
      <c r="S647"/>
      <c r="T647"/>
      <c r="U647"/>
      <c r="V647"/>
      <c r="W647"/>
      <c r="X647"/>
      <c r="Y647"/>
      <c r="Z647"/>
      <c r="AA647"/>
      <c r="AB647"/>
      <c r="AC647"/>
      <c r="AD647"/>
      <c r="AE647"/>
      <c r="AF647"/>
      <c r="AG647"/>
      <c r="AH647"/>
      <c r="AI647"/>
      <c r="AJ647"/>
      <c r="AK647"/>
      <c r="AL647"/>
    </row>
    <row r="648" spans="1:38" ht="15.75" customHeight="1">
      <c r="A648" s="98" t="s">
        <v>1231</v>
      </c>
      <c r="B648" s="98" t="s">
        <v>1250</v>
      </c>
      <c r="C648" s="98" t="s">
        <v>12</v>
      </c>
      <c r="E648"/>
      <c r="F648" t="s">
        <v>1217</v>
      </c>
      <c r="G648"/>
      <c r="H648"/>
      <c r="I648"/>
      <c r="J648"/>
      <c r="K648"/>
      <c r="L648"/>
      <c r="M648"/>
      <c r="N648"/>
      <c r="O648"/>
      <c r="P648"/>
      <c r="Q648"/>
      <c r="R648"/>
      <c r="S648"/>
      <c r="T648"/>
      <c r="U648"/>
      <c r="V648"/>
      <c r="W648"/>
      <c r="X648"/>
      <c r="Y648"/>
      <c r="Z648"/>
      <c r="AA648"/>
      <c r="AB648"/>
      <c r="AC648"/>
      <c r="AD648"/>
      <c r="AE648"/>
      <c r="AF648"/>
      <c r="AG648"/>
      <c r="AH648"/>
      <c r="AI648"/>
      <c r="AJ648"/>
      <c r="AK648"/>
      <c r="AL648"/>
    </row>
    <row r="649" spans="1:38" ht="15.75" customHeight="1">
      <c r="A649" s="98" t="s">
        <v>1231</v>
      </c>
      <c r="B649" s="98" t="s">
        <v>1251</v>
      </c>
      <c r="C649" s="98" t="s">
        <v>12</v>
      </c>
      <c r="E649"/>
      <c r="F649" t="s">
        <v>1218</v>
      </c>
      <c r="G649"/>
      <c r="H649"/>
      <c r="I649"/>
      <c r="J649"/>
      <c r="K649"/>
      <c r="L649"/>
      <c r="M649"/>
      <c r="N649"/>
      <c r="O649"/>
      <c r="P649"/>
      <c r="Q649"/>
      <c r="R649"/>
      <c r="S649"/>
      <c r="T649"/>
      <c r="U649"/>
      <c r="V649"/>
      <c r="W649"/>
      <c r="X649"/>
      <c r="Y649"/>
      <c r="Z649"/>
      <c r="AA649"/>
      <c r="AB649"/>
      <c r="AC649"/>
      <c r="AD649"/>
      <c r="AE649"/>
      <c r="AF649"/>
      <c r="AG649"/>
      <c r="AH649"/>
      <c r="AI649"/>
      <c r="AJ649"/>
      <c r="AK649"/>
      <c r="AL649"/>
    </row>
    <row r="650" spans="1:38" ht="15.75" customHeight="1">
      <c r="A650" s="98" t="s">
        <v>1231</v>
      </c>
      <c r="B650" s="98" t="s">
        <v>1252</v>
      </c>
      <c r="C650" s="98" t="s">
        <v>12</v>
      </c>
      <c r="E650"/>
      <c r="F650" t="s">
        <v>1219</v>
      </c>
      <c r="G650"/>
      <c r="H650"/>
      <c r="I650"/>
      <c r="J650"/>
      <c r="K650"/>
      <c r="L650"/>
      <c r="M650"/>
      <c r="N650"/>
      <c r="O650"/>
      <c r="P650"/>
      <c r="Q650"/>
      <c r="R650"/>
      <c r="S650"/>
      <c r="T650"/>
      <c r="U650"/>
      <c r="V650"/>
      <c r="W650"/>
      <c r="X650"/>
      <c r="Y650"/>
      <c r="Z650"/>
      <c r="AA650"/>
      <c r="AB650"/>
      <c r="AC650"/>
      <c r="AD650"/>
      <c r="AE650"/>
      <c r="AF650"/>
      <c r="AG650"/>
      <c r="AH650"/>
      <c r="AI650"/>
      <c r="AJ650"/>
      <c r="AK650"/>
      <c r="AL650"/>
    </row>
    <row r="651" spans="1:38" ht="15.75" customHeight="1">
      <c r="A651" s="98" t="s">
        <v>1231</v>
      </c>
      <c r="B651" s="98" t="s">
        <v>1253</v>
      </c>
      <c r="C651" s="98" t="s">
        <v>12</v>
      </c>
      <c r="E651"/>
      <c r="F651" t="s">
        <v>1220</v>
      </c>
      <c r="G651"/>
      <c r="H651"/>
      <c r="I651"/>
      <c r="J651"/>
      <c r="K651"/>
      <c r="L651"/>
      <c r="M651"/>
      <c r="N651"/>
      <c r="O651"/>
      <c r="P651"/>
      <c r="Q651"/>
      <c r="R651"/>
      <c r="S651"/>
      <c r="T651"/>
      <c r="U651"/>
      <c r="V651"/>
      <c r="W651"/>
      <c r="X651"/>
      <c r="Y651"/>
      <c r="Z651"/>
      <c r="AA651"/>
      <c r="AB651"/>
      <c r="AC651"/>
      <c r="AD651"/>
      <c r="AE651"/>
      <c r="AF651"/>
      <c r="AG651"/>
      <c r="AH651"/>
      <c r="AI651"/>
      <c r="AJ651"/>
      <c r="AK651"/>
      <c r="AL651"/>
    </row>
    <row r="652" spans="1:38" ht="15.75" customHeight="1">
      <c r="A652" s="98" t="s">
        <v>1231</v>
      </c>
      <c r="B652" s="98" t="s">
        <v>1254</v>
      </c>
      <c r="C652" s="98" t="s">
        <v>12</v>
      </c>
      <c r="E652"/>
      <c r="F652" t="s">
        <v>1221</v>
      </c>
      <c r="G652"/>
      <c r="H652"/>
      <c r="I652"/>
      <c r="J652"/>
      <c r="K652"/>
      <c r="L652"/>
      <c r="M652"/>
      <c r="N652"/>
      <c r="O652"/>
      <c r="P652"/>
      <c r="Q652"/>
      <c r="R652"/>
      <c r="S652"/>
      <c r="T652"/>
      <c r="U652"/>
      <c r="V652"/>
      <c r="W652"/>
      <c r="X652"/>
      <c r="Y652"/>
      <c r="Z652"/>
      <c r="AA652"/>
      <c r="AB652"/>
      <c r="AC652"/>
      <c r="AD652"/>
      <c r="AE652"/>
      <c r="AF652"/>
      <c r="AG652"/>
      <c r="AH652"/>
      <c r="AI652"/>
      <c r="AJ652"/>
      <c r="AK652"/>
      <c r="AL652"/>
    </row>
    <row r="653" spans="1:38" ht="15.75" customHeight="1">
      <c r="A653" s="98" t="s">
        <v>1231</v>
      </c>
      <c r="B653" s="98" t="s">
        <v>1255</v>
      </c>
      <c r="C653" s="98" t="s">
        <v>12</v>
      </c>
      <c r="E653" t="s">
        <v>1375</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row>
    <row r="654" spans="1:38" ht="15.75" customHeight="1">
      <c r="A654" s="98" t="s">
        <v>1231</v>
      </c>
      <c r="B654" s="98" t="s">
        <v>1256</v>
      </c>
      <c r="C654" s="98" t="s">
        <v>12</v>
      </c>
      <c r="E654" t="s">
        <v>1222</v>
      </c>
      <c r="F654" t="s">
        <v>1223</v>
      </c>
      <c r="G654"/>
      <c r="H654"/>
      <c r="I654"/>
      <c r="J654"/>
      <c r="K654"/>
      <c r="L654"/>
      <c r="M654"/>
      <c r="N654"/>
      <c r="O654"/>
      <c r="P654"/>
      <c r="Q654"/>
      <c r="R654"/>
      <c r="S654"/>
      <c r="T654"/>
      <c r="U654"/>
      <c r="V654"/>
      <c r="W654"/>
      <c r="X654"/>
      <c r="Y654"/>
      <c r="Z654"/>
      <c r="AA654"/>
      <c r="AB654"/>
      <c r="AC654"/>
      <c r="AD654"/>
      <c r="AE654"/>
      <c r="AF654"/>
      <c r="AG654"/>
      <c r="AH654"/>
      <c r="AI654"/>
      <c r="AJ654"/>
      <c r="AK654"/>
      <c r="AL654"/>
    </row>
    <row r="655" spans="1:38" ht="15.75" customHeight="1">
      <c r="A655" s="98" t="s">
        <v>1231</v>
      </c>
      <c r="B655" s="98" t="s">
        <v>1257</v>
      </c>
      <c r="C655" s="98" t="s">
        <v>12</v>
      </c>
      <c r="E655"/>
      <c r="F655" t="s">
        <v>1224</v>
      </c>
      <c r="G655"/>
      <c r="H655"/>
      <c r="I655"/>
      <c r="J655"/>
      <c r="K655"/>
      <c r="L655"/>
      <c r="M655"/>
      <c r="N655"/>
      <c r="O655"/>
      <c r="P655"/>
      <c r="Q655"/>
      <c r="R655"/>
      <c r="S655"/>
      <c r="T655"/>
      <c r="U655"/>
      <c r="V655"/>
      <c r="W655"/>
      <c r="X655"/>
      <c r="Y655"/>
      <c r="Z655"/>
      <c r="AA655"/>
      <c r="AB655"/>
      <c r="AC655"/>
      <c r="AD655"/>
      <c r="AE655"/>
      <c r="AF655"/>
      <c r="AG655"/>
      <c r="AH655"/>
      <c r="AI655"/>
      <c r="AJ655"/>
      <c r="AK655"/>
      <c r="AL655"/>
    </row>
    <row r="656" spans="1:38" ht="15.75" customHeight="1">
      <c r="A656" s="98" t="s">
        <v>1231</v>
      </c>
      <c r="B656" s="98" t="s">
        <v>1258</v>
      </c>
      <c r="C656" s="98" t="s">
        <v>12</v>
      </c>
      <c r="E656"/>
      <c r="F656" t="s">
        <v>1225</v>
      </c>
      <c r="G656"/>
      <c r="H656"/>
      <c r="I656"/>
      <c r="J656"/>
      <c r="K656"/>
      <c r="L656"/>
      <c r="M656"/>
      <c r="N656"/>
      <c r="O656"/>
      <c r="P656"/>
      <c r="Q656"/>
      <c r="R656"/>
      <c r="S656"/>
      <c r="T656"/>
      <c r="U656"/>
      <c r="V656"/>
      <c r="W656"/>
      <c r="X656"/>
      <c r="Y656"/>
      <c r="Z656"/>
      <c r="AA656"/>
      <c r="AB656"/>
      <c r="AC656"/>
      <c r="AD656"/>
      <c r="AE656"/>
      <c r="AF656"/>
      <c r="AG656"/>
      <c r="AH656"/>
      <c r="AI656"/>
      <c r="AJ656"/>
      <c r="AK656"/>
      <c r="AL656"/>
    </row>
    <row r="657" spans="1:38" ht="15.75" customHeight="1">
      <c r="A657" s="98" t="s">
        <v>1231</v>
      </c>
      <c r="B657" s="98" t="s">
        <v>1259</v>
      </c>
      <c r="C657" s="98" t="s">
        <v>12</v>
      </c>
      <c r="E657"/>
      <c r="F657" t="s">
        <v>1226</v>
      </c>
      <c r="G657"/>
      <c r="H657"/>
      <c r="I657"/>
      <c r="J657"/>
      <c r="K657"/>
      <c r="L657"/>
      <c r="M657"/>
      <c r="N657"/>
      <c r="O657"/>
      <c r="P657"/>
      <c r="Q657"/>
      <c r="R657"/>
      <c r="S657"/>
      <c r="T657"/>
      <c r="U657"/>
      <c r="V657"/>
      <c r="W657"/>
      <c r="X657"/>
      <c r="Y657"/>
      <c r="Z657"/>
      <c r="AA657"/>
      <c r="AB657"/>
      <c r="AC657"/>
      <c r="AD657"/>
      <c r="AE657"/>
      <c r="AF657"/>
      <c r="AG657"/>
      <c r="AH657"/>
      <c r="AI657"/>
      <c r="AJ657"/>
      <c r="AK657"/>
      <c r="AL657"/>
    </row>
    <row r="658" spans="1:38" ht="15.75" customHeight="1">
      <c r="A658" s="98" t="s">
        <v>1231</v>
      </c>
      <c r="B658" s="98" t="s">
        <v>1260</v>
      </c>
      <c r="C658" s="98" t="s">
        <v>12</v>
      </c>
      <c r="E658"/>
      <c r="F658" t="s">
        <v>1227</v>
      </c>
      <c r="G658"/>
      <c r="H658"/>
      <c r="I658"/>
      <c r="J658"/>
      <c r="K658"/>
      <c r="L658"/>
      <c r="M658"/>
      <c r="N658"/>
      <c r="O658"/>
      <c r="P658"/>
      <c r="Q658"/>
      <c r="R658"/>
      <c r="S658"/>
      <c r="T658"/>
      <c r="U658"/>
      <c r="V658"/>
      <c r="W658"/>
      <c r="X658"/>
      <c r="Y658"/>
      <c r="Z658"/>
      <c r="AA658"/>
      <c r="AB658"/>
      <c r="AC658"/>
      <c r="AD658"/>
      <c r="AE658"/>
      <c r="AF658"/>
      <c r="AG658"/>
      <c r="AH658"/>
      <c r="AI658"/>
      <c r="AJ658"/>
      <c r="AK658"/>
      <c r="AL658"/>
    </row>
    <row r="659" spans="1:38" ht="15.75" customHeight="1">
      <c r="A659" s="98" t="s">
        <v>1231</v>
      </c>
      <c r="B659" s="98" t="s">
        <v>1261</v>
      </c>
      <c r="C659" s="98" t="s">
        <v>12</v>
      </c>
      <c r="E659"/>
      <c r="F659" t="s">
        <v>1228</v>
      </c>
      <c r="G659"/>
      <c r="H659"/>
      <c r="I659"/>
      <c r="J659"/>
      <c r="K659"/>
      <c r="L659"/>
      <c r="M659"/>
      <c r="N659"/>
      <c r="O659"/>
      <c r="P659"/>
      <c r="Q659"/>
      <c r="R659"/>
      <c r="S659"/>
      <c r="T659"/>
      <c r="U659"/>
      <c r="V659"/>
      <c r="W659"/>
      <c r="X659"/>
      <c r="Y659"/>
      <c r="Z659"/>
      <c r="AA659"/>
      <c r="AB659"/>
      <c r="AC659"/>
      <c r="AD659"/>
      <c r="AE659"/>
      <c r="AF659"/>
      <c r="AG659"/>
      <c r="AH659"/>
      <c r="AI659"/>
      <c r="AJ659"/>
      <c r="AK659"/>
      <c r="AL659"/>
    </row>
    <row r="660" spans="1:38" ht="15.75" customHeight="1">
      <c r="A660" s="98" t="s">
        <v>1231</v>
      </c>
      <c r="B660" s="98" t="s">
        <v>1262</v>
      </c>
      <c r="C660" s="98" t="s">
        <v>12</v>
      </c>
      <c r="E660"/>
      <c r="F660" t="s">
        <v>1229</v>
      </c>
      <c r="G660"/>
      <c r="H660"/>
      <c r="I660"/>
      <c r="J660"/>
      <c r="K660"/>
      <c r="L660"/>
      <c r="M660"/>
      <c r="N660"/>
      <c r="O660"/>
      <c r="P660"/>
      <c r="Q660"/>
      <c r="R660"/>
      <c r="S660"/>
      <c r="T660"/>
      <c r="U660"/>
      <c r="V660"/>
      <c r="W660"/>
      <c r="X660"/>
      <c r="Y660"/>
      <c r="Z660"/>
      <c r="AA660"/>
      <c r="AB660"/>
      <c r="AC660"/>
      <c r="AD660"/>
      <c r="AE660"/>
      <c r="AF660"/>
      <c r="AG660"/>
      <c r="AH660"/>
      <c r="AI660"/>
      <c r="AJ660"/>
      <c r="AK660"/>
      <c r="AL660"/>
    </row>
    <row r="661" spans="1:38" ht="15.75" customHeight="1">
      <c r="A661" s="98" t="s">
        <v>1231</v>
      </c>
      <c r="B661" s="98" t="s">
        <v>1263</v>
      </c>
      <c r="C661" s="98" t="s">
        <v>12</v>
      </c>
      <c r="E661"/>
      <c r="F661" t="s">
        <v>1230</v>
      </c>
      <c r="G661"/>
      <c r="H661"/>
      <c r="I661"/>
      <c r="J661"/>
      <c r="K661"/>
      <c r="L661"/>
      <c r="M661"/>
      <c r="N661"/>
      <c r="O661"/>
      <c r="P661"/>
      <c r="Q661"/>
      <c r="R661"/>
      <c r="S661"/>
      <c r="T661"/>
      <c r="U661"/>
      <c r="V661"/>
      <c r="W661"/>
      <c r="X661"/>
      <c r="Y661"/>
      <c r="Z661"/>
      <c r="AA661"/>
      <c r="AB661"/>
      <c r="AC661"/>
      <c r="AD661"/>
      <c r="AE661"/>
      <c r="AF661"/>
      <c r="AG661"/>
      <c r="AH661"/>
      <c r="AI661"/>
      <c r="AJ661"/>
      <c r="AK661"/>
      <c r="AL661"/>
    </row>
    <row r="662" spans="1:38" ht="15.75" customHeight="1">
      <c r="A662" s="98" t="s">
        <v>1231</v>
      </c>
      <c r="B662" s="98" t="s">
        <v>803</v>
      </c>
      <c r="C662" s="98" t="s">
        <v>12</v>
      </c>
      <c r="E662" t="s">
        <v>1376</v>
      </c>
      <c r="F662"/>
      <c r="G662"/>
      <c r="H662"/>
      <c r="I662"/>
      <c r="J662"/>
      <c r="K662"/>
      <c r="L662"/>
      <c r="M662"/>
      <c r="N662"/>
      <c r="O662"/>
      <c r="P662"/>
      <c r="Q662"/>
      <c r="R662"/>
      <c r="S662"/>
      <c r="T662"/>
      <c r="U662"/>
      <c r="V662"/>
      <c r="W662"/>
      <c r="X662"/>
      <c r="Y662"/>
      <c r="Z662"/>
      <c r="AA662"/>
      <c r="AB662"/>
      <c r="AC662"/>
      <c r="AD662"/>
      <c r="AE662"/>
      <c r="AF662"/>
      <c r="AG662"/>
      <c r="AH662"/>
      <c r="AI662"/>
      <c r="AJ662"/>
      <c r="AK662"/>
      <c r="AL662"/>
    </row>
    <row r="663" spans="1:38" ht="15.75" customHeight="1">
      <c r="A663" s="98" t="s">
        <v>1231</v>
      </c>
      <c r="B663" s="98" t="s">
        <v>1264</v>
      </c>
      <c r="C663" s="98" t="s">
        <v>12</v>
      </c>
      <c r="E663" t="s">
        <v>1231</v>
      </c>
      <c r="F663" t="s">
        <v>1232</v>
      </c>
      <c r="G663"/>
      <c r="H663"/>
      <c r="I663"/>
      <c r="J663"/>
      <c r="K663"/>
      <c r="L663"/>
      <c r="M663"/>
      <c r="N663"/>
      <c r="O663"/>
      <c r="P663"/>
      <c r="Q663"/>
      <c r="R663"/>
      <c r="S663"/>
      <c r="T663"/>
      <c r="U663"/>
      <c r="V663"/>
      <c r="W663"/>
      <c r="X663"/>
      <c r="Y663"/>
      <c r="Z663"/>
      <c r="AA663"/>
      <c r="AB663"/>
      <c r="AC663"/>
      <c r="AD663"/>
      <c r="AE663"/>
      <c r="AF663"/>
      <c r="AG663"/>
      <c r="AH663"/>
      <c r="AI663"/>
      <c r="AJ663"/>
      <c r="AK663"/>
      <c r="AL663"/>
    </row>
    <row r="664" spans="1:38" ht="15.75" customHeight="1">
      <c r="A664" s="98" t="s">
        <v>1231</v>
      </c>
      <c r="B664" s="98" t="s">
        <v>1265</v>
      </c>
      <c r="C664" s="98" t="s">
        <v>12</v>
      </c>
      <c r="E664"/>
      <c r="F664" t="s">
        <v>1233</v>
      </c>
      <c r="G664"/>
      <c r="H664"/>
      <c r="I664"/>
      <c r="J664"/>
      <c r="K664"/>
      <c r="L664"/>
      <c r="M664"/>
      <c r="N664"/>
      <c r="O664"/>
      <c r="P664"/>
      <c r="Q664"/>
      <c r="R664"/>
      <c r="S664"/>
      <c r="T664"/>
      <c r="U664"/>
      <c r="V664"/>
      <c r="W664"/>
      <c r="X664"/>
      <c r="Y664"/>
      <c r="Z664"/>
      <c r="AA664"/>
      <c r="AB664"/>
      <c r="AC664"/>
      <c r="AD664"/>
      <c r="AE664"/>
      <c r="AF664"/>
      <c r="AG664"/>
      <c r="AH664"/>
      <c r="AI664"/>
      <c r="AJ664"/>
      <c r="AK664"/>
      <c r="AL664"/>
    </row>
    <row r="665" spans="1:38" ht="15.75" customHeight="1">
      <c r="A665" s="98" t="s">
        <v>1231</v>
      </c>
      <c r="B665" s="98" t="s">
        <v>1266</v>
      </c>
      <c r="C665" s="98" t="s">
        <v>12</v>
      </c>
      <c r="E665"/>
      <c r="F665" t="s">
        <v>1234</v>
      </c>
      <c r="G665"/>
      <c r="H665"/>
      <c r="I665"/>
      <c r="J665"/>
      <c r="K665"/>
      <c r="L665"/>
      <c r="M665"/>
      <c r="N665"/>
      <c r="O665"/>
      <c r="P665"/>
      <c r="Q665"/>
      <c r="R665"/>
      <c r="S665"/>
      <c r="T665"/>
      <c r="U665"/>
      <c r="V665"/>
      <c r="W665"/>
      <c r="X665"/>
      <c r="Y665"/>
      <c r="Z665"/>
      <c r="AA665"/>
      <c r="AB665"/>
      <c r="AC665"/>
      <c r="AD665"/>
      <c r="AE665"/>
      <c r="AF665"/>
      <c r="AG665"/>
      <c r="AH665"/>
      <c r="AI665"/>
      <c r="AJ665"/>
      <c r="AK665"/>
      <c r="AL665"/>
    </row>
    <row r="666" spans="1:38" ht="15.75" customHeight="1">
      <c r="A666" s="98" t="s">
        <v>1231</v>
      </c>
      <c r="B666" s="98" t="s">
        <v>1267</v>
      </c>
      <c r="C666" s="98" t="s">
        <v>12</v>
      </c>
      <c r="E666"/>
      <c r="F666" t="s">
        <v>1235</v>
      </c>
      <c r="G666"/>
      <c r="H666"/>
      <c r="I666"/>
      <c r="J666"/>
      <c r="K666"/>
      <c r="L666"/>
      <c r="M666"/>
      <c r="N666"/>
      <c r="O666"/>
      <c r="P666"/>
      <c r="Q666"/>
      <c r="R666"/>
      <c r="S666"/>
      <c r="T666"/>
      <c r="U666"/>
      <c r="V666"/>
      <c r="W666"/>
      <c r="X666"/>
      <c r="Y666"/>
      <c r="Z666"/>
      <c r="AA666"/>
      <c r="AB666"/>
      <c r="AC666"/>
      <c r="AD666"/>
      <c r="AE666"/>
      <c r="AF666"/>
      <c r="AG666"/>
      <c r="AH666"/>
      <c r="AI666"/>
      <c r="AJ666"/>
      <c r="AK666"/>
      <c r="AL666"/>
    </row>
    <row r="667" spans="1:38" ht="15.75" customHeight="1">
      <c r="A667" s="98" t="s">
        <v>1231</v>
      </c>
      <c r="B667" s="98" t="s">
        <v>1268</v>
      </c>
      <c r="C667" s="98" t="s">
        <v>12</v>
      </c>
      <c r="E667"/>
      <c r="F667" t="s">
        <v>1236</v>
      </c>
      <c r="G667"/>
      <c r="H667"/>
      <c r="I667"/>
      <c r="J667"/>
      <c r="K667"/>
      <c r="L667"/>
      <c r="M667"/>
      <c r="N667"/>
      <c r="O667"/>
      <c r="P667"/>
      <c r="Q667"/>
      <c r="R667"/>
      <c r="S667"/>
      <c r="T667"/>
      <c r="U667"/>
      <c r="V667"/>
      <c r="W667"/>
      <c r="X667"/>
      <c r="Y667"/>
      <c r="Z667"/>
      <c r="AA667"/>
      <c r="AB667"/>
      <c r="AC667"/>
      <c r="AD667"/>
      <c r="AE667"/>
      <c r="AF667"/>
      <c r="AG667"/>
      <c r="AH667"/>
      <c r="AI667"/>
      <c r="AJ667"/>
      <c r="AK667"/>
      <c r="AL667"/>
    </row>
    <row r="668" spans="1:38" ht="15.75" customHeight="1">
      <c r="A668" s="98" t="s">
        <v>1231</v>
      </c>
      <c r="B668" s="98" t="s">
        <v>1269</v>
      </c>
      <c r="C668" s="98" t="s">
        <v>12</v>
      </c>
      <c r="E668"/>
      <c r="F668" t="s">
        <v>1237</v>
      </c>
      <c r="G668"/>
      <c r="H668"/>
      <c r="I668"/>
      <c r="J668"/>
      <c r="K668"/>
      <c r="L668"/>
      <c r="M668"/>
      <c r="N668"/>
      <c r="O668"/>
      <c r="P668"/>
      <c r="Q668"/>
      <c r="R668"/>
      <c r="S668"/>
      <c r="T668"/>
      <c r="U668"/>
      <c r="V668"/>
      <c r="W668"/>
      <c r="X668"/>
      <c r="Y668"/>
      <c r="Z668"/>
      <c r="AA668"/>
      <c r="AB668"/>
      <c r="AC668"/>
      <c r="AD668"/>
      <c r="AE668"/>
      <c r="AF668"/>
      <c r="AG668"/>
      <c r="AH668"/>
      <c r="AI668"/>
      <c r="AJ668"/>
      <c r="AK668"/>
      <c r="AL668"/>
    </row>
    <row r="669" spans="1:38" ht="15.75" customHeight="1">
      <c r="A669" s="98" t="s">
        <v>1231</v>
      </c>
      <c r="B669" s="98" t="s">
        <v>1270</v>
      </c>
      <c r="C669" s="98" t="s">
        <v>12</v>
      </c>
      <c r="E669"/>
      <c r="F669" t="s">
        <v>1238</v>
      </c>
      <c r="G669"/>
      <c r="H669"/>
      <c r="I669"/>
      <c r="J669"/>
      <c r="K669"/>
      <c r="L669"/>
      <c r="M669"/>
      <c r="N669"/>
      <c r="O669"/>
      <c r="P669"/>
      <c r="Q669"/>
      <c r="R669"/>
      <c r="S669"/>
      <c r="T669"/>
      <c r="U669"/>
      <c r="V669"/>
      <c r="W669"/>
      <c r="X669"/>
      <c r="Y669"/>
      <c r="Z669"/>
      <c r="AA669"/>
      <c r="AB669"/>
      <c r="AC669"/>
      <c r="AD669"/>
      <c r="AE669"/>
      <c r="AF669"/>
      <c r="AG669"/>
      <c r="AH669"/>
      <c r="AI669"/>
      <c r="AJ669"/>
      <c r="AK669"/>
      <c r="AL669"/>
    </row>
    <row r="670" spans="1:38" ht="15.75" customHeight="1">
      <c r="A670" s="98" t="s">
        <v>1231</v>
      </c>
      <c r="B670" s="98" t="s">
        <v>1271</v>
      </c>
      <c r="C670" s="98" t="s">
        <v>12</v>
      </c>
      <c r="E670"/>
      <c r="F670" t="s">
        <v>1239</v>
      </c>
      <c r="G670"/>
      <c r="H670"/>
      <c r="I670"/>
      <c r="J670"/>
      <c r="K670"/>
      <c r="L670"/>
      <c r="M670"/>
      <c r="N670"/>
      <c r="O670"/>
      <c r="P670"/>
      <c r="Q670"/>
      <c r="R670"/>
      <c r="S670"/>
      <c r="T670"/>
      <c r="U670"/>
      <c r="V670"/>
      <c r="W670"/>
      <c r="X670"/>
      <c r="Y670"/>
      <c r="Z670"/>
      <c r="AA670"/>
      <c r="AB670"/>
      <c r="AC670"/>
      <c r="AD670"/>
      <c r="AE670"/>
      <c r="AF670"/>
      <c r="AG670"/>
      <c r="AH670"/>
      <c r="AI670"/>
      <c r="AJ670"/>
      <c r="AK670"/>
      <c r="AL670"/>
    </row>
    <row r="671" spans="1:38" ht="15.75" customHeight="1">
      <c r="A671" s="98" t="s">
        <v>1231</v>
      </c>
      <c r="B671" s="98" t="s">
        <v>1272</v>
      </c>
      <c r="C671" s="98" t="s">
        <v>12</v>
      </c>
      <c r="E671"/>
      <c r="F671" t="s">
        <v>1240</v>
      </c>
      <c r="G671"/>
      <c r="H671"/>
      <c r="I671"/>
      <c r="J671"/>
      <c r="K671"/>
      <c r="L671"/>
      <c r="M671"/>
      <c r="N671"/>
      <c r="O671"/>
      <c r="P671"/>
      <c r="Q671"/>
      <c r="R671"/>
      <c r="S671"/>
      <c r="T671"/>
      <c r="U671"/>
      <c r="V671"/>
      <c r="W671"/>
      <c r="X671"/>
      <c r="Y671"/>
      <c r="Z671"/>
      <c r="AA671"/>
      <c r="AB671"/>
      <c r="AC671"/>
      <c r="AD671"/>
      <c r="AE671"/>
      <c r="AF671"/>
      <c r="AG671"/>
      <c r="AH671"/>
      <c r="AI671"/>
      <c r="AJ671"/>
      <c r="AK671"/>
      <c r="AL671"/>
    </row>
    <row r="672" spans="1:38" ht="15.75" customHeight="1">
      <c r="A672" s="98" t="s">
        <v>1231</v>
      </c>
      <c r="B672" s="98" t="s">
        <v>1273</v>
      </c>
      <c r="C672" s="98" t="s">
        <v>12</v>
      </c>
      <c r="E672"/>
      <c r="F672" t="s">
        <v>1241</v>
      </c>
      <c r="G672"/>
      <c r="H672"/>
      <c r="I672"/>
      <c r="J672"/>
      <c r="K672"/>
      <c r="L672"/>
      <c r="M672"/>
      <c r="N672"/>
      <c r="O672"/>
      <c r="P672"/>
      <c r="Q672"/>
      <c r="R672"/>
      <c r="S672"/>
      <c r="T672"/>
      <c r="U672"/>
      <c r="V672"/>
      <c r="W672"/>
      <c r="X672"/>
      <c r="Y672"/>
      <c r="Z672"/>
      <c r="AA672"/>
      <c r="AB672"/>
      <c r="AC672"/>
      <c r="AD672"/>
      <c r="AE672"/>
      <c r="AF672"/>
      <c r="AG672"/>
      <c r="AH672"/>
      <c r="AI672"/>
      <c r="AJ672"/>
      <c r="AK672"/>
      <c r="AL672"/>
    </row>
    <row r="673" spans="1:38" ht="15.75" customHeight="1">
      <c r="A673" s="98" t="s">
        <v>1231</v>
      </c>
      <c r="B673" s="98" t="s">
        <v>1274</v>
      </c>
      <c r="C673" s="98" t="s">
        <v>12</v>
      </c>
      <c r="E673"/>
      <c r="F673" t="s">
        <v>1242</v>
      </c>
      <c r="G673"/>
      <c r="H673"/>
      <c r="I673"/>
      <c r="J673"/>
      <c r="K673"/>
      <c r="L673"/>
      <c r="M673"/>
      <c r="N673"/>
      <c r="O673"/>
      <c r="P673"/>
      <c r="Q673"/>
      <c r="R673"/>
      <c r="S673"/>
      <c r="T673"/>
      <c r="U673"/>
      <c r="V673"/>
      <c r="W673"/>
      <c r="X673"/>
      <c r="Y673"/>
      <c r="Z673"/>
      <c r="AA673"/>
      <c r="AB673"/>
      <c r="AC673"/>
      <c r="AD673"/>
      <c r="AE673"/>
      <c r="AF673"/>
      <c r="AG673"/>
      <c r="AH673"/>
      <c r="AI673"/>
      <c r="AJ673"/>
      <c r="AK673"/>
      <c r="AL673"/>
    </row>
    <row r="674" spans="1:38" ht="15.75" customHeight="1">
      <c r="A674" s="98" t="s">
        <v>1231</v>
      </c>
      <c r="B674" s="98" t="s">
        <v>1275</v>
      </c>
      <c r="C674" s="98" t="s">
        <v>12</v>
      </c>
      <c r="E674"/>
      <c r="F674" t="s">
        <v>700</v>
      </c>
      <c r="G674"/>
      <c r="H674"/>
      <c r="I674"/>
      <c r="J674"/>
      <c r="K674"/>
      <c r="L674"/>
      <c r="M674"/>
      <c r="N674"/>
      <c r="O674"/>
      <c r="P674"/>
      <c r="Q674"/>
      <c r="R674"/>
      <c r="S674"/>
      <c r="T674"/>
      <c r="U674"/>
      <c r="V674"/>
      <c r="W674"/>
      <c r="X674"/>
      <c r="Y674"/>
      <c r="Z674"/>
      <c r="AA674"/>
      <c r="AB674"/>
      <c r="AC674"/>
      <c r="AD674"/>
      <c r="AE674"/>
      <c r="AF674"/>
      <c r="AG674"/>
      <c r="AH674"/>
      <c r="AI674"/>
      <c r="AJ674"/>
      <c r="AK674"/>
      <c r="AL674"/>
    </row>
    <row r="675" spans="1:38" ht="15.75" customHeight="1">
      <c r="A675" s="98" t="s">
        <v>1231</v>
      </c>
      <c r="B675" s="98" t="s">
        <v>1276</v>
      </c>
      <c r="C675" s="98" t="s">
        <v>12</v>
      </c>
      <c r="E675"/>
      <c r="F675" t="s">
        <v>1243</v>
      </c>
      <c r="G675"/>
      <c r="H675"/>
      <c r="I675"/>
      <c r="J675"/>
      <c r="K675"/>
      <c r="L675"/>
      <c r="M675"/>
      <c r="N675"/>
      <c r="O675"/>
      <c r="P675"/>
      <c r="Q675"/>
      <c r="R675"/>
      <c r="S675"/>
      <c r="T675"/>
      <c r="U675"/>
      <c r="V675"/>
      <c r="W675"/>
      <c r="X675"/>
      <c r="Y675"/>
      <c r="Z675"/>
      <c r="AA675"/>
      <c r="AB675"/>
      <c r="AC675"/>
      <c r="AD675"/>
      <c r="AE675"/>
      <c r="AF675"/>
      <c r="AG675"/>
      <c r="AH675"/>
      <c r="AI675"/>
      <c r="AJ675"/>
      <c r="AK675"/>
      <c r="AL675"/>
    </row>
    <row r="676" spans="1:38" ht="15.75" customHeight="1">
      <c r="A676" s="98" t="s">
        <v>1231</v>
      </c>
      <c r="B676" s="98" t="s">
        <v>1277</v>
      </c>
      <c r="C676" s="98" t="s">
        <v>12</v>
      </c>
      <c r="E676"/>
      <c r="F676" t="s">
        <v>1244</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ht="15.75" customHeight="1">
      <c r="A677" s="98" t="s">
        <v>1231</v>
      </c>
      <c r="B677" s="98" t="s">
        <v>1278</v>
      </c>
      <c r="C677" s="98" t="s">
        <v>12</v>
      </c>
      <c r="E677"/>
      <c r="F677" t="s">
        <v>1245</v>
      </c>
      <c r="G677"/>
      <c r="H677"/>
      <c r="I677"/>
      <c r="J677"/>
      <c r="K677"/>
      <c r="L677"/>
      <c r="M677"/>
      <c r="N677"/>
      <c r="O677"/>
      <c r="P677"/>
      <c r="Q677"/>
      <c r="R677"/>
      <c r="S677"/>
      <c r="T677"/>
      <c r="U677"/>
      <c r="V677"/>
      <c r="W677"/>
      <c r="X677"/>
      <c r="Y677"/>
      <c r="Z677"/>
      <c r="AA677"/>
      <c r="AB677"/>
      <c r="AC677"/>
      <c r="AD677"/>
      <c r="AE677"/>
      <c r="AF677"/>
      <c r="AG677"/>
      <c r="AH677"/>
      <c r="AI677"/>
      <c r="AJ677"/>
      <c r="AK677"/>
      <c r="AL677"/>
    </row>
    <row r="678" spans="1:38" ht="15.75" customHeight="1">
      <c r="A678" s="98" t="s">
        <v>1231</v>
      </c>
      <c r="B678" s="98" t="s">
        <v>1279</v>
      </c>
      <c r="C678" s="98" t="s">
        <v>12</v>
      </c>
      <c r="E678"/>
      <c r="F678" t="s">
        <v>1246</v>
      </c>
      <c r="G678"/>
      <c r="H678"/>
      <c r="I678"/>
      <c r="J678"/>
      <c r="K678"/>
      <c r="L678"/>
      <c r="M678"/>
      <c r="N678"/>
      <c r="O678"/>
      <c r="P678"/>
      <c r="Q678"/>
      <c r="R678"/>
      <c r="S678"/>
      <c r="T678"/>
      <c r="U678"/>
      <c r="V678"/>
      <c r="W678"/>
      <c r="X678"/>
      <c r="Y678"/>
      <c r="Z678"/>
      <c r="AA678"/>
      <c r="AB678"/>
      <c r="AC678"/>
      <c r="AD678"/>
      <c r="AE678"/>
      <c r="AF678"/>
      <c r="AG678"/>
      <c r="AH678"/>
      <c r="AI678"/>
      <c r="AJ678"/>
      <c r="AK678"/>
      <c r="AL678"/>
    </row>
    <row r="679" spans="1:38" ht="15.75" customHeight="1">
      <c r="A679" s="98" t="s">
        <v>1231</v>
      </c>
      <c r="B679" s="98" t="s">
        <v>1280</v>
      </c>
      <c r="C679" s="98" t="s">
        <v>12</v>
      </c>
      <c r="E679"/>
      <c r="F679" t="s">
        <v>1247</v>
      </c>
      <c r="G679"/>
      <c r="H679"/>
      <c r="I679"/>
      <c r="J679"/>
      <c r="K679"/>
      <c r="L679"/>
      <c r="M679"/>
      <c r="N679"/>
      <c r="O679"/>
      <c r="P679"/>
      <c r="Q679"/>
      <c r="R679"/>
      <c r="S679"/>
      <c r="T679"/>
      <c r="U679"/>
      <c r="V679"/>
      <c r="W679"/>
      <c r="X679"/>
      <c r="Y679"/>
      <c r="Z679"/>
      <c r="AA679"/>
      <c r="AB679"/>
      <c r="AC679"/>
      <c r="AD679"/>
      <c r="AE679"/>
      <c r="AF679"/>
      <c r="AG679"/>
      <c r="AH679"/>
      <c r="AI679"/>
      <c r="AJ679"/>
      <c r="AK679"/>
      <c r="AL679"/>
    </row>
    <row r="680" spans="1:38" ht="15.75" customHeight="1">
      <c r="A680" s="98" t="s">
        <v>1231</v>
      </c>
      <c r="B680" s="98" t="s">
        <v>1281</v>
      </c>
      <c r="C680" s="98" t="s">
        <v>12</v>
      </c>
      <c r="E680"/>
      <c r="F680" t="s">
        <v>1248</v>
      </c>
      <c r="G680"/>
      <c r="H680"/>
      <c r="I680"/>
      <c r="J680"/>
      <c r="K680"/>
      <c r="L680"/>
      <c r="M680"/>
      <c r="N680"/>
      <c r="O680"/>
      <c r="P680"/>
      <c r="Q680"/>
      <c r="R680"/>
      <c r="S680"/>
      <c r="T680"/>
      <c r="U680"/>
      <c r="V680"/>
      <c r="W680"/>
      <c r="X680"/>
      <c r="Y680"/>
      <c r="Z680"/>
      <c r="AA680"/>
      <c r="AB680"/>
      <c r="AC680"/>
      <c r="AD680"/>
      <c r="AE680"/>
      <c r="AF680"/>
      <c r="AG680"/>
      <c r="AH680"/>
      <c r="AI680"/>
      <c r="AJ680"/>
      <c r="AK680"/>
      <c r="AL680"/>
    </row>
    <row r="681" spans="1:38" ht="15.75" customHeight="1">
      <c r="A681" s="98" t="s">
        <v>1231</v>
      </c>
      <c r="B681" s="98" t="s">
        <v>1282</v>
      </c>
      <c r="C681" s="98" t="s">
        <v>12</v>
      </c>
      <c r="E681"/>
      <c r="F681" t="s">
        <v>1249</v>
      </c>
      <c r="G681"/>
      <c r="H681"/>
      <c r="I681"/>
      <c r="J681"/>
      <c r="K681"/>
      <c r="L681"/>
      <c r="M681"/>
      <c r="N681"/>
      <c r="O681"/>
      <c r="P681"/>
      <c r="Q681"/>
      <c r="R681"/>
      <c r="S681"/>
      <c r="T681"/>
      <c r="U681"/>
      <c r="V681"/>
      <c r="W681"/>
      <c r="X681"/>
      <c r="Y681"/>
      <c r="Z681"/>
      <c r="AA681"/>
      <c r="AB681"/>
      <c r="AC681"/>
      <c r="AD681"/>
      <c r="AE681"/>
      <c r="AF681"/>
      <c r="AG681"/>
      <c r="AH681"/>
      <c r="AI681"/>
      <c r="AJ681"/>
      <c r="AK681"/>
      <c r="AL681"/>
    </row>
    <row r="682" spans="1:38" ht="15.75" customHeight="1">
      <c r="A682" s="98" t="s">
        <v>1231</v>
      </c>
      <c r="B682" s="98" t="s">
        <v>1283</v>
      </c>
      <c r="C682" s="98" t="s">
        <v>12</v>
      </c>
      <c r="E682"/>
      <c r="F682" t="s">
        <v>1250</v>
      </c>
      <c r="G682"/>
      <c r="H682"/>
      <c r="I682"/>
      <c r="J682"/>
      <c r="K682"/>
      <c r="L682"/>
      <c r="M682"/>
      <c r="N682"/>
      <c r="O682"/>
      <c r="P682"/>
      <c r="Q682"/>
      <c r="R682"/>
      <c r="S682"/>
      <c r="T682"/>
      <c r="U682"/>
      <c r="V682"/>
      <c r="W682"/>
      <c r="X682"/>
      <c r="Y682"/>
      <c r="Z682"/>
      <c r="AA682"/>
      <c r="AB682"/>
      <c r="AC682"/>
      <c r="AD682"/>
      <c r="AE682"/>
      <c r="AF682"/>
      <c r="AG682"/>
      <c r="AH682"/>
      <c r="AI682"/>
      <c r="AJ682"/>
      <c r="AK682"/>
      <c r="AL682"/>
    </row>
    <row r="683" spans="1:38" ht="15.75" customHeight="1">
      <c r="A683" s="98" t="s">
        <v>1231</v>
      </c>
      <c r="B683" s="98" t="s">
        <v>1284</v>
      </c>
      <c r="C683" s="98" t="s">
        <v>12</v>
      </c>
      <c r="E683"/>
      <c r="F683" t="s">
        <v>1251</v>
      </c>
      <c r="G683"/>
      <c r="H683"/>
      <c r="I683"/>
      <c r="J683"/>
      <c r="K683"/>
      <c r="L683"/>
      <c r="M683"/>
      <c r="N683"/>
      <c r="O683"/>
      <c r="P683"/>
      <c r="Q683"/>
      <c r="R683"/>
      <c r="S683"/>
      <c r="T683"/>
      <c r="U683"/>
      <c r="V683"/>
      <c r="W683"/>
      <c r="X683"/>
      <c r="Y683"/>
      <c r="Z683"/>
      <c r="AA683"/>
      <c r="AB683"/>
      <c r="AC683"/>
      <c r="AD683"/>
      <c r="AE683"/>
      <c r="AF683"/>
      <c r="AG683"/>
      <c r="AH683"/>
      <c r="AI683"/>
      <c r="AJ683"/>
      <c r="AK683"/>
      <c r="AL683"/>
    </row>
    <row r="684" spans="1:38" ht="15.75" customHeight="1">
      <c r="A684" s="98" t="s">
        <v>1231</v>
      </c>
      <c r="B684" s="98" t="s">
        <v>1285</v>
      </c>
      <c r="C684" s="98" t="s">
        <v>12</v>
      </c>
      <c r="E684"/>
      <c r="F684" t="s">
        <v>1252</v>
      </c>
      <c r="G684"/>
      <c r="H684"/>
      <c r="I684"/>
      <c r="J684"/>
      <c r="K684"/>
      <c r="L684"/>
      <c r="M684"/>
      <c r="N684"/>
      <c r="O684"/>
      <c r="P684"/>
      <c r="Q684"/>
      <c r="R684"/>
      <c r="S684"/>
      <c r="T684"/>
      <c r="U684"/>
      <c r="V684"/>
      <c r="W684"/>
      <c r="X684"/>
      <c r="Y684"/>
      <c r="Z684"/>
      <c r="AA684"/>
      <c r="AB684"/>
      <c r="AC684"/>
      <c r="AD684"/>
      <c r="AE684"/>
      <c r="AF684"/>
      <c r="AG684"/>
      <c r="AH684"/>
      <c r="AI684"/>
      <c r="AJ684"/>
      <c r="AK684"/>
      <c r="AL684"/>
    </row>
    <row r="685" spans="1:38" ht="15.75" customHeight="1">
      <c r="A685" s="98" t="s">
        <v>1231</v>
      </c>
      <c r="B685" s="98" t="s">
        <v>1286</v>
      </c>
      <c r="C685" s="98" t="s">
        <v>12</v>
      </c>
      <c r="E685"/>
      <c r="F685" t="s">
        <v>1253</v>
      </c>
      <c r="G685"/>
      <c r="H685"/>
      <c r="I685"/>
      <c r="J685"/>
      <c r="K685"/>
      <c r="L685"/>
      <c r="M685"/>
      <c r="N685"/>
      <c r="O685"/>
      <c r="P685"/>
      <c r="Q685"/>
      <c r="R685"/>
      <c r="S685"/>
      <c r="T685"/>
      <c r="U685"/>
      <c r="V685"/>
      <c r="W685"/>
      <c r="X685"/>
      <c r="Y685"/>
      <c r="Z685"/>
      <c r="AA685"/>
      <c r="AB685"/>
      <c r="AC685"/>
      <c r="AD685"/>
      <c r="AE685"/>
      <c r="AF685"/>
      <c r="AG685"/>
      <c r="AH685"/>
      <c r="AI685"/>
      <c r="AJ685"/>
      <c r="AK685"/>
      <c r="AL685"/>
    </row>
    <row r="686" spans="1:38" ht="15.75" customHeight="1">
      <c r="A686" s="98" t="s">
        <v>1231</v>
      </c>
      <c r="B686" s="98" t="s">
        <v>1287</v>
      </c>
      <c r="C686" s="98" t="s">
        <v>12</v>
      </c>
      <c r="E686"/>
      <c r="F686" t="s">
        <v>1254</v>
      </c>
      <c r="G686"/>
      <c r="H686"/>
      <c r="I686"/>
      <c r="J686"/>
      <c r="K686"/>
      <c r="L686"/>
      <c r="M686"/>
      <c r="N686"/>
      <c r="O686"/>
      <c r="P686"/>
      <c r="Q686"/>
      <c r="R686"/>
      <c r="S686"/>
      <c r="T686"/>
      <c r="U686"/>
      <c r="V686"/>
      <c r="W686"/>
      <c r="X686"/>
      <c r="Y686"/>
      <c r="Z686"/>
      <c r="AA686"/>
      <c r="AB686"/>
      <c r="AC686"/>
      <c r="AD686"/>
      <c r="AE686"/>
      <c r="AF686"/>
      <c r="AG686"/>
      <c r="AH686"/>
      <c r="AI686"/>
      <c r="AJ686"/>
      <c r="AK686"/>
      <c r="AL686"/>
    </row>
    <row r="687" spans="1:38" ht="15.75" customHeight="1">
      <c r="A687" s="98" t="s">
        <v>1231</v>
      </c>
      <c r="B687" s="98" t="s">
        <v>1288</v>
      </c>
      <c r="C687" s="98" t="s">
        <v>12</v>
      </c>
      <c r="E687"/>
      <c r="F687" t="s">
        <v>1255</v>
      </c>
      <c r="G687"/>
      <c r="H687"/>
      <c r="I687"/>
      <c r="J687"/>
      <c r="K687"/>
      <c r="L687"/>
      <c r="M687"/>
      <c r="N687"/>
      <c r="O687"/>
      <c r="P687"/>
      <c r="Q687"/>
      <c r="R687"/>
      <c r="S687"/>
      <c r="T687"/>
      <c r="U687"/>
      <c r="V687"/>
      <c r="W687"/>
      <c r="X687"/>
      <c r="Y687"/>
      <c r="Z687"/>
      <c r="AA687"/>
      <c r="AB687"/>
      <c r="AC687"/>
      <c r="AD687"/>
      <c r="AE687"/>
      <c r="AF687"/>
      <c r="AG687"/>
      <c r="AH687"/>
      <c r="AI687"/>
      <c r="AJ687"/>
      <c r="AK687"/>
      <c r="AL687"/>
    </row>
    <row r="688" spans="1:38" ht="15.75" customHeight="1">
      <c r="A688" s="98" t="s">
        <v>1231</v>
      </c>
      <c r="B688" s="98" t="s">
        <v>1136</v>
      </c>
      <c r="C688" s="98" t="s">
        <v>12</v>
      </c>
      <c r="E688"/>
      <c r="F688" t="s">
        <v>1256</v>
      </c>
      <c r="G688"/>
      <c r="H688"/>
      <c r="I688"/>
      <c r="J688"/>
      <c r="K688"/>
      <c r="L688"/>
      <c r="M688"/>
      <c r="N688"/>
      <c r="O688"/>
      <c r="P688"/>
      <c r="Q688"/>
      <c r="R688"/>
      <c r="S688"/>
      <c r="T688"/>
      <c r="U688"/>
      <c r="V688"/>
      <c r="W688"/>
      <c r="X688"/>
      <c r="Y688"/>
      <c r="Z688"/>
      <c r="AA688"/>
      <c r="AB688"/>
      <c r="AC688"/>
      <c r="AD688"/>
      <c r="AE688"/>
      <c r="AF688"/>
      <c r="AG688"/>
      <c r="AH688"/>
      <c r="AI688"/>
      <c r="AJ688"/>
      <c r="AK688"/>
      <c r="AL688"/>
    </row>
    <row r="689" spans="1:38" ht="15.75" customHeight="1">
      <c r="A689" s="98" t="s">
        <v>1231</v>
      </c>
      <c r="B689" s="98" t="s">
        <v>1289</v>
      </c>
      <c r="C689" s="98" t="s">
        <v>12</v>
      </c>
      <c r="E689"/>
      <c r="F689" t="s">
        <v>1257</v>
      </c>
      <c r="G689"/>
      <c r="H689"/>
      <c r="I689"/>
      <c r="J689"/>
      <c r="K689"/>
      <c r="L689"/>
      <c r="M689"/>
      <c r="N689"/>
      <c r="O689"/>
      <c r="P689"/>
      <c r="Q689"/>
      <c r="R689"/>
      <c r="S689"/>
      <c r="T689"/>
      <c r="U689"/>
      <c r="V689"/>
      <c r="W689"/>
      <c r="X689"/>
      <c r="Y689"/>
      <c r="Z689"/>
      <c r="AA689"/>
      <c r="AB689"/>
      <c r="AC689"/>
      <c r="AD689"/>
      <c r="AE689"/>
      <c r="AF689"/>
      <c r="AG689"/>
      <c r="AH689"/>
      <c r="AI689"/>
      <c r="AJ689"/>
      <c r="AK689"/>
      <c r="AL689"/>
    </row>
    <row r="690" spans="1:38" ht="15.75" customHeight="1">
      <c r="A690" s="98" t="s">
        <v>1231</v>
      </c>
      <c r="B690" s="98" t="s">
        <v>1290</v>
      </c>
      <c r="C690" s="98" t="s">
        <v>12</v>
      </c>
      <c r="E690"/>
      <c r="F690" t="s">
        <v>1258</v>
      </c>
      <c r="G690"/>
      <c r="H690"/>
      <c r="I690"/>
      <c r="J690"/>
      <c r="K690"/>
      <c r="L690"/>
      <c r="M690"/>
      <c r="N690"/>
      <c r="O690"/>
      <c r="P690"/>
      <c r="Q690"/>
      <c r="R690"/>
      <c r="S690"/>
      <c r="T690"/>
      <c r="U690"/>
      <c r="V690"/>
      <c r="W690"/>
      <c r="X690"/>
      <c r="Y690"/>
      <c r="Z690"/>
      <c r="AA690"/>
      <c r="AB690"/>
      <c r="AC690"/>
      <c r="AD690"/>
      <c r="AE690"/>
      <c r="AF690"/>
      <c r="AG690"/>
      <c r="AH690"/>
      <c r="AI690"/>
      <c r="AJ690"/>
      <c r="AK690"/>
      <c r="AL690"/>
    </row>
    <row r="691" spans="1:38" ht="15.75" customHeight="1">
      <c r="A691" s="98" t="s">
        <v>1231</v>
      </c>
      <c r="B691" s="98" t="s">
        <v>1291</v>
      </c>
      <c r="C691" s="98" t="s">
        <v>12</v>
      </c>
      <c r="E691"/>
      <c r="F691" t="s">
        <v>1259</v>
      </c>
      <c r="G691"/>
      <c r="H691"/>
      <c r="I691"/>
      <c r="J691"/>
      <c r="K691"/>
      <c r="L691"/>
      <c r="M691"/>
      <c r="N691"/>
      <c r="O691"/>
      <c r="P691"/>
      <c r="Q691"/>
      <c r="R691"/>
      <c r="S691"/>
      <c r="T691"/>
      <c r="U691"/>
      <c r="V691"/>
      <c r="W691"/>
      <c r="X691"/>
      <c r="Y691"/>
      <c r="Z691"/>
      <c r="AA691"/>
      <c r="AB691"/>
      <c r="AC691"/>
      <c r="AD691"/>
      <c r="AE691"/>
      <c r="AF691"/>
      <c r="AG691"/>
      <c r="AH691"/>
      <c r="AI691"/>
      <c r="AJ691"/>
      <c r="AK691"/>
      <c r="AL691"/>
    </row>
    <row r="692" spans="1:38" ht="15.75" customHeight="1">
      <c r="A692" s="98" t="s">
        <v>1231</v>
      </c>
      <c r="B692" s="98" t="s">
        <v>1292</v>
      </c>
      <c r="C692" s="98" t="s">
        <v>12</v>
      </c>
      <c r="E692"/>
      <c r="F692" t="s">
        <v>1260</v>
      </c>
      <c r="G692"/>
      <c r="H692"/>
      <c r="I692"/>
      <c r="J692"/>
      <c r="K692"/>
      <c r="L692"/>
      <c r="M692"/>
      <c r="N692"/>
      <c r="O692"/>
      <c r="P692"/>
      <c r="Q692"/>
      <c r="R692"/>
      <c r="S692"/>
      <c r="T692"/>
      <c r="U692"/>
      <c r="V692"/>
      <c r="W692"/>
      <c r="X692"/>
      <c r="Y692"/>
      <c r="Z692"/>
      <c r="AA692"/>
      <c r="AB692"/>
      <c r="AC692"/>
      <c r="AD692"/>
      <c r="AE692"/>
      <c r="AF692"/>
      <c r="AG692"/>
      <c r="AH692"/>
      <c r="AI692"/>
      <c r="AJ692"/>
      <c r="AK692"/>
      <c r="AL692"/>
    </row>
    <row r="693" spans="1:38" ht="15.75" customHeight="1">
      <c r="A693" s="98" t="s">
        <v>1231</v>
      </c>
      <c r="B693" s="98" t="s">
        <v>1293</v>
      </c>
      <c r="C693" s="98" t="s">
        <v>12</v>
      </c>
      <c r="E693"/>
      <c r="F693" t="s">
        <v>1261</v>
      </c>
      <c r="G693"/>
      <c r="H693"/>
      <c r="I693"/>
      <c r="J693"/>
      <c r="K693"/>
      <c r="L693"/>
      <c r="M693"/>
      <c r="N693"/>
      <c r="O693"/>
      <c r="P693"/>
      <c r="Q693"/>
      <c r="R693"/>
      <c r="S693"/>
      <c r="T693"/>
      <c r="U693"/>
      <c r="V693"/>
      <c r="W693"/>
      <c r="X693"/>
      <c r="Y693"/>
      <c r="Z693"/>
      <c r="AA693"/>
      <c r="AB693"/>
      <c r="AC693"/>
      <c r="AD693"/>
      <c r="AE693"/>
      <c r="AF693"/>
      <c r="AG693"/>
      <c r="AH693"/>
      <c r="AI693"/>
      <c r="AJ693"/>
      <c r="AK693"/>
      <c r="AL693"/>
    </row>
    <row r="694" spans="1:38" ht="15.75" customHeight="1">
      <c r="A694" s="98" t="s">
        <v>1231</v>
      </c>
      <c r="B694" s="98" t="s">
        <v>1294</v>
      </c>
      <c r="C694" s="98" t="s">
        <v>12</v>
      </c>
      <c r="E694"/>
      <c r="F694" t="s">
        <v>1262</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5.75" customHeight="1">
      <c r="A695" s="98" t="s">
        <v>1231</v>
      </c>
      <c r="B695" s="98" t="s">
        <v>1295</v>
      </c>
      <c r="C695" s="98" t="s">
        <v>12</v>
      </c>
      <c r="E695"/>
      <c r="F695" t="s">
        <v>1263</v>
      </c>
      <c r="G695"/>
      <c r="H695"/>
      <c r="I695"/>
      <c r="J695"/>
      <c r="K695"/>
      <c r="L695"/>
      <c r="M695"/>
      <c r="N695"/>
      <c r="O695"/>
      <c r="P695"/>
      <c r="Q695"/>
      <c r="R695"/>
      <c r="S695"/>
      <c r="T695"/>
      <c r="U695"/>
      <c r="V695"/>
      <c r="W695"/>
      <c r="X695"/>
      <c r="Y695"/>
      <c r="Z695"/>
      <c r="AA695"/>
      <c r="AB695"/>
      <c r="AC695"/>
      <c r="AD695"/>
      <c r="AE695"/>
      <c r="AF695"/>
      <c r="AG695"/>
      <c r="AH695"/>
      <c r="AI695"/>
      <c r="AJ695"/>
      <c r="AK695"/>
      <c r="AL695"/>
    </row>
    <row r="696" spans="1:38" ht="15.75" customHeight="1">
      <c r="A696" s="98" t="s">
        <v>1231</v>
      </c>
      <c r="B696" s="98" t="s">
        <v>1296</v>
      </c>
      <c r="C696" s="98" t="s">
        <v>12</v>
      </c>
      <c r="E696"/>
      <c r="F696" t="s">
        <v>803</v>
      </c>
      <c r="G696"/>
      <c r="H696"/>
      <c r="I696"/>
      <c r="J696"/>
      <c r="K696"/>
      <c r="L696"/>
      <c r="M696"/>
      <c r="N696"/>
      <c r="O696"/>
      <c r="P696"/>
      <c r="Q696"/>
      <c r="R696"/>
      <c r="S696"/>
      <c r="T696"/>
      <c r="U696"/>
      <c r="V696"/>
      <c r="W696"/>
      <c r="X696"/>
      <c r="Y696"/>
      <c r="Z696"/>
      <c r="AA696"/>
      <c r="AB696"/>
      <c r="AC696"/>
      <c r="AD696"/>
      <c r="AE696"/>
      <c r="AF696"/>
      <c r="AG696"/>
      <c r="AH696"/>
      <c r="AI696"/>
      <c r="AJ696"/>
      <c r="AK696"/>
      <c r="AL696"/>
    </row>
    <row r="697" spans="1:38" ht="15.75" customHeight="1">
      <c r="A697" s="98" t="s">
        <v>1231</v>
      </c>
      <c r="B697" s="98" t="s">
        <v>1297</v>
      </c>
      <c r="C697" s="98" t="s">
        <v>12</v>
      </c>
      <c r="E697"/>
      <c r="F697" t="s">
        <v>1264</v>
      </c>
      <c r="G697"/>
      <c r="H697"/>
      <c r="I697"/>
      <c r="J697"/>
      <c r="K697"/>
      <c r="L697"/>
      <c r="M697"/>
      <c r="N697"/>
      <c r="O697"/>
      <c r="P697"/>
      <c r="Q697"/>
      <c r="R697"/>
      <c r="S697"/>
      <c r="T697"/>
      <c r="U697"/>
      <c r="V697"/>
      <c r="W697"/>
      <c r="X697"/>
      <c r="Y697"/>
      <c r="Z697"/>
      <c r="AA697"/>
      <c r="AB697"/>
      <c r="AC697"/>
      <c r="AD697"/>
      <c r="AE697"/>
      <c r="AF697"/>
      <c r="AG697"/>
      <c r="AH697"/>
      <c r="AI697"/>
      <c r="AJ697"/>
      <c r="AK697"/>
      <c r="AL697"/>
    </row>
    <row r="698" spans="1:38" ht="15.75" customHeight="1">
      <c r="A698" s="98" t="s">
        <v>1231</v>
      </c>
      <c r="B698" s="98" t="s">
        <v>1298</v>
      </c>
      <c r="C698" s="98" t="s">
        <v>12</v>
      </c>
      <c r="E698"/>
      <c r="F698" t="s">
        <v>1265</v>
      </c>
      <c r="G698"/>
      <c r="H698"/>
      <c r="I698"/>
      <c r="J698"/>
      <c r="K698"/>
      <c r="L698"/>
      <c r="M698"/>
      <c r="N698"/>
      <c r="O698"/>
      <c r="P698"/>
      <c r="Q698"/>
      <c r="R698"/>
      <c r="S698"/>
      <c r="T698"/>
      <c r="U698"/>
      <c r="V698"/>
      <c r="W698"/>
      <c r="X698"/>
      <c r="Y698"/>
      <c r="Z698"/>
      <c r="AA698"/>
      <c r="AB698"/>
      <c r="AC698"/>
      <c r="AD698"/>
      <c r="AE698"/>
      <c r="AF698"/>
      <c r="AG698"/>
      <c r="AH698"/>
      <c r="AI698"/>
      <c r="AJ698"/>
      <c r="AK698"/>
      <c r="AL698"/>
    </row>
    <row r="699" spans="1:38" ht="15.75" customHeight="1">
      <c r="A699" s="98" t="s">
        <v>1231</v>
      </c>
      <c r="B699" s="98" t="s">
        <v>1299</v>
      </c>
      <c r="C699" s="98" t="s">
        <v>12</v>
      </c>
      <c r="E699"/>
      <c r="F699" t="s">
        <v>1266</v>
      </c>
      <c r="G699"/>
      <c r="H699"/>
      <c r="I699"/>
      <c r="J699"/>
      <c r="K699"/>
      <c r="L699"/>
      <c r="M699"/>
      <c r="N699"/>
      <c r="O699"/>
      <c r="P699"/>
      <c r="Q699"/>
      <c r="R699"/>
      <c r="S699"/>
      <c r="T699"/>
      <c r="U699"/>
      <c r="V699"/>
      <c r="W699"/>
      <c r="X699"/>
      <c r="Y699"/>
      <c r="Z699"/>
      <c r="AA699"/>
      <c r="AB699"/>
      <c r="AC699"/>
      <c r="AD699"/>
      <c r="AE699"/>
      <c r="AF699"/>
      <c r="AG699"/>
      <c r="AH699"/>
      <c r="AI699"/>
      <c r="AJ699"/>
      <c r="AK699"/>
      <c r="AL699"/>
    </row>
    <row r="700" spans="1:38" ht="15.75" customHeight="1">
      <c r="A700" s="98" t="s">
        <v>1231</v>
      </c>
      <c r="B700" s="98" t="s">
        <v>1300</v>
      </c>
      <c r="C700" s="98" t="s">
        <v>12</v>
      </c>
      <c r="E700"/>
      <c r="F700" t="s">
        <v>1267</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ht="15.75" customHeight="1">
      <c r="A701" s="98" t="s">
        <v>1231</v>
      </c>
      <c r="B701" s="98" t="s">
        <v>1301</v>
      </c>
      <c r="C701" s="98" t="s">
        <v>12</v>
      </c>
      <c r="E701"/>
      <c r="F701" t="s">
        <v>1268</v>
      </c>
      <c r="G701"/>
      <c r="H701"/>
      <c r="I701"/>
      <c r="J701"/>
      <c r="K701"/>
      <c r="L701"/>
      <c r="M701"/>
      <c r="N701"/>
      <c r="O701"/>
      <c r="P701"/>
      <c r="Q701"/>
      <c r="R701"/>
      <c r="S701"/>
      <c r="T701"/>
      <c r="U701"/>
      <c r="V701"/>
      <c r="W701"/>
      <c r="X701"/>
      <c r="Y701"/>
      <c r="Z701"/>
      <c r="AA701"/>
      <c r="AB701"/>
      <c r="AC701"/>
      <c r="AD701"/>
      <c r="AE701"/>
      <c r="AF701"/>
      <c r="AG701"/>
      <c r="AH701"/>
      <c r="AI701"/>
      <c r="AJ701"/>
      <c r="AK701"/>
      <c r="AL701"/>
    </row>
    <row r="702" spans="1:38" ht="15.75" customHeight="1">
      <c r="A702" s="98" t="s">
        <v>1231</v>
      </c>
      <c r="B702" s="98" t="s">
        <v>1302</v>
      </c>
      <c r="C702" s="98" t="s">
        <v>12</v>
      </c>
      <c r="E702"/>
      <c r="F702" t="s">
        <v>1269</v>
      </c>
      <c r="G702"/>
      <c r="H702"/>
      <c r="I702"/>
      <c r="J702"/>
      <c r="K702"/>
      <c r="L702"/>
      <c r="M702"/>
      <c r="N702"/>
      <c r="O702"/>
      <c r="P702"/>
      <c r="Q702"/>
      <c r="R702"/>
      <c r="S702"/>
      <c r="T702"/>
      <c r="U702"/>
      <c r="V702"/>
      <c r="W702"/>
      <c r="X702"/>
      <c r="Y702"/>
      <c r="Z702"/>
      <c r="AA702"/>
      <c r="AB702"/>
      <c r="AC702"/>
      <c r="AD702"/>
      <c r="AE702"/>
      <c r="AF702"/>
      <c r="AG702"/>
      <c r="AH702"/>
      <c r="AI702"/>
      <c r="AJ702"/>
      <c r="AK702"/>
      <c r="AL702"/>
    </row>
    <row r="703" spans="1:38" ht="15.75" customHeight="1">
      <c r="A703" s="98" t="s">
        <v>1231</v>
      </c>
      <c r="B703" s="98" t="s">
        <v>1303</v>
      </c>
      <c r="C703" s="98" t="s">
        <v>12</v>
      </c>
      <c r="E703"/>
      <c r="F703" t="s">
        <v>1270</v>
      </c>
      <c r="G703"/>
      <c r="H703"/>
      <c r="I703"/>
      <c r="J703"/>
      <c r="K703"/>
      <c r="L703"/>
      <c r="M703"/>
      <c r="N703"/>
      <c r="O703"/>
      <c r="P703"/>
      <c r="Q703"/>
      <c r="R703"/>
      <c r="S703"/>
      <c r="T703"/>
      <c r="U703"/>
      <c r="V703"/>
      <c r="W703"/>
      <c r="X703"/>
      <c r="Y703"/>
      <c r="Z703"/>
      <c r="AA703"/>
      <c r="AB703"/>
      <c r="AC703"/>
      <c r="AD703"/>
      <c r="AE703"/>
      <c r="AF703"/>
      <c r="AG703"/>
      <c r="AH703"/>
      <c r="AI703"/>
      <c r="AJ703"/>
      <c r="AK703"/>
      <c r="AL703"/>
    </row>
    <row r="704" spans="1:38" ht="15.75" customHeight="1">
      <c r="A704" s="98" t="s">
        <v>1304</v>
      </c>
      <c r="B704" s="98" t="s">
        <v>1305</v>
      </c>
      <c r="C704" s="98" t="s">
        <v>12</v>
      </c>
      <c r="E704"/>
      <c r="F704" t="s">
        <v>1271</v>
      </c>
      <c r="G704"/>
      <c r="H704"/>
      <c r="I704"/>
      <c r="J704"/>
      <c r="K704"/>
      <c r="L704"/>
      <c r="M704"/>
      <c r="N704"/>
      <c r="O704"/>
      <c r="P704"/>
      <c r="Q704"/>
      <c r="R704"/>
      <c r="S704"/>
      <c r="T704"/>
      <c r="U704"/>
      <c r="V704"/>
      <c r="W704"/>
      <c r="X704"/>
      <c r="Y704"/>
      <c r="Z704"/>
      <c r="AA704"/>
      <c r="AB704"/>
      <c r="AC704"/>
      <c r="AD704"/>
      <c r="AE704"/>
      <c r="AF704"/>
      <c r="AG704"/>
      <c r="AH704"/>
      <c r="AI704"/>
      <c r="AJ704"/>
      <c r="AK704"/>
      <c r="AL704"/>
    </row>
    <row r="705" spans="1:38" ht="15.75" customHeight="1">
      <c r="A705" s="98" t="s">
        <v>1304</v>
      </c>
      <c r="B705" s="98" t="s">
        <v>1306</v>
      </c>
      <c r="C705" s="98" t="s">
        <v>12</v>
      </c>
      <c r="E705"/>
      <c r="F705" t="s">
        <v>1272</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ht="15.75" customHeight="1">
      <c r="A706" s="98" t="s">
        <v>1304</v>
      </c>
      <c r="B706" s="98" t="s">
        <v>1307</v>
      </c>
      <c r="C706" s="98" t="s">
        <v>12</v>
      </c>
      <c r="E706"/>
      <c r="F706" t="s">
        <v>1273</v>
      </c>
      <c r="G706"/>
      <c r="H706"/>
      <c r="I706"/>
      <c r="J706"/>
      <c r="K706"/>
      <c r="L706"/>
      <c r="M706"/>
      <c r="N706"/>
      <c r="O706"/>
      <c r="P706"/>
      <c r="Q706"/>
      <c r="R706"/>
      <c r="S706"/>
      <c r="T706"/>
      <c r="U706"/>
      <c r="V706"/>
      <c r="W706"/>
      <c r="X706"/>
      <c r="Y706"/>
      <c r="Z706"/>
      <c r="AA706"/>
      <c r="AB706"/>
      <c r="AC706"/>
      <c r="AD706"/>
      <c r="AE706"/>
      <c r="AF706"/>
      <c r="AG706"/>
      <c r="AH706"/>
      <c r="AI706"/>
      <c r="AJ706"/>
      <c r="AK706"/>
      <c r="AL706"/>
    </row>
    <row r="707" spans="1:38" ht="15.75" customHeight="1">
      <c r="A707" s="98" t="s">
        <v>1304</v>
      </c>
      <c r="B707" s="98" t="s">
        <v>1308</v>
      </c>
      <c r="C707" s="98" t="s">
        <v>12</v>
      </c>
      <c r="E707"/>
      <c r="F707" t="s">
        <v>1274</v>
      </c>
      <c r="G707"/>
      <c r="H707"/>
      <c r="I707"/>
      <c r="J707"/>
      <c r="K707"/>
      <c r="L707"/>
      <c r="M707"/>
      <c r="N707"/>
      <c r="O707"/>
      <c r="P707"/>
      <c r="Q707"/>
      <c r="R707"/>
      <c r="S707"/>
      <c r="T707"/>
      <c r="U707"/>
      <c r="V707"/>
      <c r="W707"/>
      <c r="X707"/>
      <c r="Y707"/>
      <c r="Z707"/>
      <c r="AA707"/>
      <c r="AB707"/>
      <c r="AC707"/>
      <c r="AD707"/>
      <c r="AE707"/>
      <c r="AF707"/>
      <c r="AG707"/>
      <c r="AH707"/>
      <c r="AI707"/>
      <c r="AJ707"/>
      <c r="AK707"/>
      <c r="AL707"/>
    </row>
    <row r="708" spans="1:38" ht="15.75" customHeight="1">
      <c r="A708" s="98" t="s">
        <v>1304</v>
      </c>
      <c r="B708" s="98" t="s">
        <v>1309</v>
      </c>
      <c r="C708" s="98" t="s">
        <v>12</v>
      </c>
      <c r="E708"/>
      <c r="F708" t="s">
        <v>1275</v>
      </c>
      <c r="G708"/>
      <c r="H708"/>
      <c r="I708"/>
      <c r="J708"/>
      <c r="K708"/>
      <c r="L708"/>
      <c r="M708"/>
      <c r="N708"/>
      <c r="O708"/>
      <c r="P708"/>
      <c r="Q708"/>
      <c r="R708"/>
      <c r="S708"/>
      <c r="T708"/>
      <c r="U708"/>
      <c r="V708"/>
      <c r="W708"/>
      <c r="X708"/>
      <c r="Y708"/>
      <c r="Z708"/>
      <c r="AA708"/>
      <c r="AB708"/>
      <c r="AC708"/>
      <c r="AD708"/>
      <c r="AE708"/>
      <c r="AF708"/>
      <c r="AG708"/>
      <c r="AH708"/>
      <c r="AI708"/>
      <c r="AJ708"/>
      <c r="AK708"/>
      <c r="AL708"/>
    </row>
    <row r="709" spans="1:38" ht="15.75" customHeight="1">
      <c r="A709" s="98" t="s">
        <v>1304</v>
      </c>
      <c r="B709" s="98" t="s">
        <v>1310</v>
      </c>
      <c r="C709" s="98" t="s">
        <v>12</v>
      </c>
      <c r="E709"/>
      <c r="F709" t="s">
        <v>1276</v>
      </c>
      <c r="G709"/>
      <c r="H709"/>
      <c r="I709"/>
      <c r="J709"/>
      <c r="K709"/>
      <c r="L709"/>
      <c r="M709"/>
      <c r="N709"/>
      <c r="O709"/>
      <c r="P709"/>
      <c r="Q709"/>
      <c r="R709"/>
      <c r="S709"/>
      <c r="T709"/>
      <c r="U709"/>
      <c r="V709"/>
      <c r="W709"/>
      <c r="X709"/>
      <c r="Y709"/>
      <c r="Z709"/>
      <c r="AA709"/>
      <c r="AB709"/>
      <c r="AC709"/>
      <c r="AD709"/>
      <c r="AE709"/>
      <c r="AF709"/>
      <c r="AG709"/>
      <c r="AH709"/>
      <c r="AI709"/>
      <c r="AJ709"/>
      <c r="AK709"/>
      <c r="AL709"/>
    </row>
    <row r="710" spans="1:38" ht="15.75" customHeight="1">
      <c r="A710" s="98" t="s">
        <v>1304</v>
      </c>
      <c r="B710" s="98" t="s">
        <v>1311</v>
      </c>
      <c r="C710" s="98" t="s">
        <v>12</v>
      </c>
      <c r="E710"/>
      <c r="F710" t="s">
        <v>1277</v>
      </c>
      <c r="G710"/>
      <c r="H710"/>
      <c r="I710"/>
      <c r="J710"/>
      <c r="K710"/>
      <c r="L710"/>
      <c r="M710"/>
      <c r="N710"/>
      <c r="O710"/>
      <c r="P710"/>
      <c r="Q710"/>
      <c r="R710"/>
      <c r="S710"/>
      <c r="T710"/>
      <c r="U710"/>
      <c r="V710"/>
      <c r="W710"/>
      <c r="X710"/>
      <c r="Y710"/>
      <c r="Z710"/>
      <c r="AA710"/>
      <c r="AB710"/>
      <c r="AC710"/>
      <c r="AD710"/>
      <c r="AE710"/>
      <c r="AF710"/>
      <c r="AG710"/>
      <c r="AH710"/>
      <c r="AI710"/>
      <c r="AJ710"/>
      <c r="AK710"/>
      <c r="AL710"/>
    </row>
    <row r="711" spans="1:38" ht="15.75" customHeight="1">
      <c r="A711" s="98" t="s">
        <v>1304</v>
      </c>
      <c r="B711" s="98" t="s">
        <v>1312</v>
      </c>
      <c r="C711" s="98" t="s">
        <v>12</v>
      </c>
      <c r="E711"/>
      <c r="F711" t="s">
        <v>1278</v>
      </c>
      <c r="G711"/>
      <c r="H711"/>
      <c r="I711"/>
      <c r="J711"/>
      <c r="K711"/>
      <c r="L711"/>
      <c r="M711"/>
      <c r="N711"/>
      <c r="O711"/>
      <c r="P711"/>
      <c r="Q711"/>
      <c r="R711"/>
      <c r="S711"/>
      <c r="T711"/>
      <c r="U711"/>
      <c r="V711"/>
      <c r="W711"/>
      <c r="X711"/>
      <c r="Y711"/>
      <c r="Z711"/>
      <c r="AA711"/>
      <c r="AB711"/>
      <c r="AC711"/>
      <c r="AD711"/>
      <c r="AE711"/>
      <c r="AF711"/>
      <c r="AG711"/>
      <c r="AH711"/>
      <c r="AI711"/>
      <c r="AJ711"/>
      <c r="AK711"/>
      <c r="AL711"/>
    </row>
    <row r="712" spans="1:38" ht="15.75" customHeight="1">
      <c r="A712" s="98" t="s">
        <v>1304</v>
      </c>
      <c r="B712" s="98" t="s">
        <v>1313</v>
      </c>
      <c r="C712" s="98" t="s">
        <v>12</v>
      </c>
      <c r="E712"/>
      <c r="F712" t="s">
        <v>1279</v>
      </c>
      <c r="G712"/>
      <c r="H712"/>
      <c r="I712"/>
      <c r="J712"/>
      <c r="K712"/>
      <c r="L712"/>
      <c r="M712"/>
      <c r="N712"/>
      <c r="O712"/>
      <c r="P712"/>
      <c r="Q712"/>
      <c r="R712"/>
      <c r="S712"/>
      <c r="T712"/>
      <c r="U712"/>
      <c r="V712"/>
      <c r="W712"/>
      <c r="X712"/>
      <c r="Y712"/>
      <c r="Z712"/>
      <c r="AA712"/>
      <c r="AB712"/>
      <c r="AC712"/>
      <c r="AD712"/>
      <c r="AE712"/>
      <c r="AF712"/>
      <c r="AG712"/>
      <c r="AH712"/>
      <c r="AI712"/>
      <c r="AJ712"/>
      <c r="AK712"/>
      <c r="AL712"/>
    </row>
    <row r="713" spans="1:38" ht="15.75" customHeight="1">
      <c r="A713" s="98" t="s">
        <v>1304</v>
      </c>
      <c r="B713" s="98" t="s">
        <v>1314</v>
      </c>
      <c r="C713" s="98" t="s">
        <v>12</v>
      </c>
      <c r="E713"/>
      <c r="F713" t="s">
        <v>1280</v>
      </c>
      <c r="G713"/>
      <c r="H713"/>
      <c r="I713"/>
      <c r="J713"/>
      <c r="K713"/>
      <c r="L713"/>
      <c r="M713"/>
      <c r="N713"/>
      <c r="O713"/>
      <c r="P713"/>
      <c r="Q713"/>
      <c r="R713"/>
      <c r="S713"/>
      <c r="T713"/>
      <c r="U713"/>
      <c r="V713"/>
      <c r="W713"/>
      <c r="X713"/>
      <c r="Y713"/>
      <c r="Z713"/>
      <c r="AA713"/>
      <c r="AB713"/>
      <c r="AC713"/>
      <c r="AD713"/>
      <c r="AE713"/>
      <c r="AF713"/>
      <c r="AG713"/>
      <c r="AH713"/>
      <c r="AI713"/>
      <c r="AJ713"/>
      <c r="AK713"/>
      <c r="AL713"/>
    </row>
    <row r="714" spans="1:38" ht="15.75" customHeight="1">
      <c r="A714" s="98" t="s">
        <v>1304</v>
      </c>
      <c r="B714" s="98" t="s">
        <v>1315</v>
      </c>
      <c r="C714" s="98" t="s">
        <v>12</v>
      </c>
      <c r="E714"/>
      <c r="F714" t="s">
        <v>1281</v>
      </c>
      <c r="G714"/>
      <c r="H714"/>
      <c r="I714"/>
      <c r="J714"/>
      <c r="K714"/>
      <c r="L714"/>
      <c r="M714"/>
      <c r="N714"/>
      <c r="O714"/>
      <c r="P714"/>
      <c r="Q714"/>
      <c r="R714"/>
      <c r="S714"/>
      <c r="T714"/>
      <c r="U714"/>
      <c r="V714"/>
      <c r="W714"/>
      <c r="X714"/>
      <c r="Y714"/>
      <c r="Z714"/>
      <c r="AA714"/>
      <c r="AB714"/>
      <c r="AC714"/>
      <c r="AD714"/>
      <c r="AE714"/>
      <c r="AF714"/>
      <c r="AG714"/>
      <c r="AH714"/>
      <c r="AI714"/>
      <c r="AJ714"/>
      <c r="AK714"/>
      <c r="AL714"/>
    </row>
    <row r="715" spans="1:38" ht="15.75" customHeight="1">
      <c r="A715" s="98" t="s">
        <v>1304</v>
      </c>
      <c r="B715" s="98" t="s">
        <v>1316</v>
      </c>
      <c r="C715" s="98" t="s">
        <v>12</v>
      </c>
      <c r="E715"/>
      <c r="F715" t="s">
        <v>1282</v>
      </c>
      <c r="G715"/>
      <c r="H715"/>
      <c r="I715"/>
      <c r="J715"/>
      <c r="K715"/>
      <c r="L715"/>
      <c r="M715"/>
      <c r="N715"/>
      <c r="O715"/>
      <c r="P715"/>
      <c r="Q715"/>
      <c r="R715"/>
      <c r="S715"/>
      <c r="T715"/>
      <c r="U715"/>
      <c r="V715"/>
      <c r="W715"/>
      <c r="X715"/>
      <c r="Y715"/>
      <c r="Z715"/>
      <c r="AA715"/>
      <c r="AB715"/>
      <c r="AC715"/>
      <c r="AD715"/>
      <c r="AE715"/>
      <c r="AF715"/>
      <c r="AG715"/>
      <c r="AH715"/>
      <c r="AI715"/>
      <c r="AJ715"/>
      <c r="AK715"/>
      <c r="AL715"/>
    </row>
    <row r="716" spans="1:38" ht="15.75" customHeight="1">
      <c r="A716" s="98" t="s">
        <v>1304</v>
      </c>
      <c r="B716" s="98" t="s">
        <v>1317</v>
      </c>
      <c r="C716" s="98" t="s">
        <v>12</v>
      </c>
      <c r="E716"/>
      <c r="F716" t="s">
        <v>1283</v>
      </c>
      <c r="G716"/>
      <c r="H716"/>
      <c r="I716"/>
      <c r="J716"/>
      <c r="K716"/>
      <c r="L716"/>
      <c r="M716"/>
      <c r="N716"/>
      <c r="O716"/>
      <c r="P716"/>
      <c r="Q716"/>
      <c r="R716"/>
      <c r="S716"/>
      <c r="T716"/>
      <c r="U716"/>
      <c r="V716"/>
      <c r="W716"/>
      <c r="X716"/>
      <c r="Y716"/>
      <c r="Z716"/>
      <c r="AA716"/>
      <c r="AB716"/>
      <c r="AC716"/>
      <c r="AD716"/>
      <c r="AE716"/>
      <c r="AF716"/>
      <c r="AG716"/>
      <c r="AH716"/>
      <c r="AI716"/>
      <c r="AJ716"/>
      <c r="AK716"/>
      <c r="AL716"/>
    </row>
    <row r="717" spans="1:38" ht="15.75" customHeight="1">
      <c r="A717" s="98" t="s">
        <v>1318</v>
      </c>
      <c r="B717" s="98" t="s">
        <v>1319</v>
      </c>
      <c r="C717" s="98" t="s">
        <v>12</v>
      </c>
      <c r="E717"/>
      <c r="F717" t="s">
        <v>1284</v>
      </c>
      <c r="G717"/>
      <c r="H717"/>
      <c r="I717"/>
      <c r="J717"/>
      <c r="K717"/>
      <c r="L717"/>
      <c r="M717"/>
      <c r="N717"/>
      <c r="O717"/>
      <c r="P717"/>
      <c r="Q717"/>
      <c r="R717"/>
      <c r="S717"/>
      <c r="T717"/>
      <c r="U717"/>
      <c r="V717"/>
      <c r="W717"/>
      <c r="X717"/>
      <c r="Y717"/>
      <c r="Z717"/>
      <c r="AA717"/>
      <c r="AB717"/>
      <c r="AC717"/>
      <c r="AD717"/>
      <c r="AE717"/>
      <c r="AF717"/>
      <c r="AG717"/>
      <c r="AH717"/>
      <c r="AI717"/>
      <c r="AJ717"/>
      <c r="AK717"/>
      <c r="AL717"/>
    </row>
    <row r="718" spans="1:38" ht="15.75" customHeight="1">
      <c r="A718" s="98" t="s">
        <v>1318</v>
      </c>
      <c r="B718" s="98" t="s">
        <v>1320</v>
      </c>
      <c r="C718" s="98" t="s">
        <v>12</v>
      </c>
      <c r="E718"/>
      <c r="F718" t="s">
        <v>1285</v>
      </c>
      <c r="G718"/>
      <c r="H718"/>
      <c r="I718"/>
      <c r="J718"/>
      <c r="K718"/>
      <c r="L718"/>
      <c r="M718"/>
      <c r="N718"/>
      <c r="O718"/>
      <c r="P718"/>
      <c r="Q718"/>
      <c r="R718"/>
      <c r="S718"/>
      <c r="T718"/>
      <c r="U718"/>
      <c r="V718"/>
      <c r="W718"/>
      <c r="X718"/>
      <c r="Y718"/>
      <c r="Z718"/>
      <c r="AA718"/>
      <c r="AB718"/>
      <c r="AC718"/>
      <c r="AD718"/>
      <c r="AE718"/>
      <c r="AF718"/>
      <c r="AG718"/>
      <c r="AH718"/>
      <c r="AI718"/>
      <c r="AJ718"/>
      <c r="AK718"/>
      <c r="AL718"/>
    </row>
    <row r="719" spans="1:38" ht="15.75" customHeight="1">
      <c r="A719" s="98" t="s">
        <v>1318</v>
      </c>
      <c r="B719" s="98" t="s">
        <v>1321</v>
      </c>
      <c r="C719" s="98" t="s">
        <v>12</v>
      </c>
      <c r="E719"/>
      <c r="F719" t="s">
        <v>1286</v>
      </c>
      <c r="G719"/>
      <c r="H719"/>
      <c r="I719"/>
      <c r="J719"/>
      <c r="K719"/>
      <c r="L719"/>
      <c r="M719"/>
      <c r="N719"/>
      <c r="O719"/>
      <c r="P719"/>
      <c r="Q719"/>
      <c r="R719"/>
      <c r="S719"/>
      <c r="T719"/>
      <c r="U719"/>
      <c r="V719"/>
      <c r="W719"/>
      <c r="X719"/>
      <c r="Y719"/>
      <c r="Z719"/>
      <c r="AA719"/>
      <c r="AB719"/>
      <c r="AC719"/>
      <c r="AD719"/>
      <c r="AE719"/>
      <c r="AF719"/>
      <c r="AG719"/>
      <c r="AH719"/>
      <c r="AI719"/>
      <c r="AJ719"/>
      <c r="AK719"/>
      <c r="AL719"/>
    </row>
    <row r="720" spans="1:38" ht="15.75" customHeight="1">
      <c r="A720" s="98" t="s">
        <v>1318</v>
      </c>
      <c r="B720" s="98" t="s">
        <v>1322</v>
      </c>
      <c r="C720" s="98" t="s">
        <v>12</v>
      </c>
      <c r="E720"/>
      <c r="F720" t="s">
        <v>1287</v>
      </c>
      <c r="G720"/>
      <c r="H720"/>
      <c r="I720"/>
      <c r="J720"/>
      <c r="K720"/>
      <c r="L720"/>
      <c r="M720"/>
      <c r="N720"/>
      <c r="O720"/>
      <c r="P720"/>
      <c r="Q720"/>
      <c r="R720"/>
      <c r="S720"/>
      <c r="T720"/>
      <c r="U720"/>
      <c r="V720"/>
      <c r="W720"/>
      <c r="X720"/>
      <c r="Y720"/>
      <c r="Z720"/>
      <c r="AA720"/>
      <c r="AB720"/>
      <c r="AC720"/>
      <c r="AD720"/>
      <c r="AE720"/>
      <c r="AF720"/>
      <c r="AG720"/>
      <c r="AH720"/>
      <c r="AI720"/>
      <c r="AJ720"/>
      <c r="AK720"/>
      <c r="AL720"/>
    </row>
    <row r="721" spans="1:38" ht="15.75" customHeight="1">
      <c r="A721" s="98" t="s">
        <v>1318</v>
      </c>
      <c r="B721" s="98" t="s">
        <v>1323</v>
      </c>
      <c r="C721" s="98" t="s">
        <v>12</v>
      </c>
      <c r="E721"/>
      <c r="F721" t="s">
        <v>1288</v>
      </c>
      <c r="G721"/>
      <c r="H721"/>
      <c r="I721"/>
      <c r="J721"/>
      <c r="K721"/>
      <c r="L721"/>
      <c r="M721"/>
      <c r="N721"/>
      <c r="O721"/>
      <c r="P721"/>
      <c r="Q721"/>
      <c r="R721"/>
      <c r="S721"/>
      <c r="T721"/>
      <c r="U721"/>
      <c r="V721"/>
      <c r="W721"/>
      <c r="X721"/>
      <c r="Y721"/>
      <c r="Z721"/>
      <c r="AA721"/>
      <c r="AB721"/>
      <c r="AC721"/>
      <c r="AD721"/>
      <c r="AE721"/>
      <c r="AF721"/>
      <c r="AG721"/>
      <c r="AH721"/>
      <c r="AI721"/>
      <c r="AJ721"/>
      <c r="AK721"/>
      <c r="AL721"/>
    </row>
    <row r="722" spans="1:38" ht="15.75" customHeight="1">
      <c r="A722" s="98" t="s">
        <v>1318</v>
      </c>
      <c r="B722" s="98" t="s">
        <v>1324</v>
      </c>
      <c r="C722" s="98" t="s">
        <v>12</v>
      </c>
      <c r="E722"/>
      <c r="F722" t="s">
        <v>1136</v>
      </c>
      <c r="G722"/>
      <c r="H722"/>
      <c r="I722"/>
      <c r="J722"/>
      <c r="K722"/>
      <c r="L722"/>
      <c r="M722"/>
      <c r="N722"/>
      <c r="O722"/>
      <c r="P722"/>
      <c r="Q722"/>
      <c r="R722"/>
      <c r="S722"/>
      <c r="T722"/>
      <c r="U722"/>
      <c r="V722"/>
      <c r="W722"/>
      <c r="X722"/>
      <c r="Y722"/>
      <c r="Z722"/>
      <c r="AA722"/>
      <c r="AB722"/>
      <c r="AC722"/>
      <c r="AD722"/>
      <c r="AE722"/>
      <c r="AF722"/>
      <c r="AG722"/>
      <c r="AH722"/>
      <c r="AI722"/>
      <c r="AJ722"/>
      <c r="AK722"/>
      <c r="AL722"/>
    </row>
    <row r="723" spans="1:38" ht="15.75" customHeight="1">
      <c r="A723" s="98" t="s">
        <v>1318</v>
      </c>
      <c r="B723" s="98" t="s">
        <v>1325</v>
      </c>
      <c r="C723" s="98" t="s">
        <v>12</v>
      </c>
      <c r="E723"/>
      <c r="F723" t="s">
        <v>1289</v>
      </c>
      <c r="G723"/>
      <c r="H723"/>
      <c r="I723"/>
      <c r="J723"/>
      <c r="K723"/>
      <c r="L723"/>
      <c r="M723"/>
      <c r="N723"/>
      <c r="O723"/>
      <c r="P723"/>
      <c r="Q723"/>
      <c r="R723"/>
      <c r="S723"/>
      <c r="T723"/>
      <c r="U723"/>
      <c r="V723"/>
      <c r="W723"/>
      <c r="X723"/>
      <c r="Y723"/>
      <c r="Z723"/>
      <c r="AA723"/>
      <c r="AB723"/>
      <c r="AC723"/>
      <c r="AD723"/>
      <c r="AE723"/>
      <c r="AF723"/>
      <c r="AG723"/>
      <c r="AH723"/>
      <c r="AI723"/>
      <c r="AJ723"/>
      <c r="AK723"/>
      <c r="AL723"/>
    </row>
    <row r="724" spans="1:38" ht="15.75" customHeight="1">
      <c r="A724" s="98" t="s">
        <v>1318</v>
      </c>
      <c r="B724" s="98" t="s">
        <v>1326</v>
      </c>
      <c r="C724" s="98" t="s">
        <v>12</v>
      </c>
      <c r="E724"/>
      <c r="F724" t="s">
        <v>1290</v>
      </c>
      <c r="G724"/>
      <c r="H724"/>
      <c r="I724"/>
      <c r="J724"/>
      <c r="K724"/>
      <c r="L724"/>
      <c r="M724"/>
      <c r="N724"/>
      <c r="O724"/>
      <c r="P724"/>
      <c r="Q724"/>
      <c r="R724"/>
      <c r="S724"/>
      <c r="T724"/>
      <c r="U724"/>
      <c r="V724"/>
      <c r="W724"/>
      <c r="X724"/>
      <c r="Y724"/>
      <c r="Z724"/>
      <c r="AA724"/>
      <c r="AB724"/>
      <c r="AC724"/>
      <c r="AD724"/>
      <c r="AE724"/>
      <c r="AF724"/>
      <c r="AG724"/>
      <c r="AH724"/>
      <c r="AI724"/>
      <c r="AJ724"/>
      <c r="AK724"/>
      <c r="AL724"/>
    </row>
    <row r="725" spans="1:38" ht="15.75" customHeight="1">
      <c r="A725" s="98" t="s">
        <v>1318</v>
      </c>
      <c r="B725" s="98" t="s">
        <v>1327</v>
      </c>
      <c r="C725" s="98" t="s">
        <v>12</v>
      </c>
      <c r="E725"/>
      <c r="F725" t="s">
        <v>1291</v>
      </c>
      <c r="G725"/>
      <c r="H725"/>
      <c r="I725"/>
      <c r="J725"/>
      <c r="K725"/>
      <c r="L725"/>
      <c r="M725"/>
      <c r="N725"/>
      <c r="O725"/>
      <c r="P725"/>
      <c r="Q725"/>
      <c r="R725"/>
      <c r="S725"/>
      <c r="T725"/>
      <c r="U725"/>
      <c r="V725"/>
      <c r="W725"/>
      <c r="X725"/>
      <c r="Y725"/>
      <c r="Z725"/>
      <c r="AA725"/>
      <c r="AB725"/>
      <c r="AC725"/>
      <c r="AD725"/>
      <c r="AE725"/>
      <c r="AF725"/>
      <c r="AG725"/>
      <c r="AH725"/>
      <c r="AI725"/>
      <c r="AJ725"/>
      <c r="AK725"/>
      <c r="AL725"/>
    </row>
    <row r="726" spans="1:38" ht="15.75" customHeight="1">
      <c r="A726" s="98" t="s">
        <v>1318</v>
      </c>
      <c r="B726" s="98" t="s">
        <v>1328</v>
      </c>
      <c r="C726" s="98" t="s">
        <v>12</v>
      </c>
      <c r="E726"/>
      <c r="F726" t="s">
        <v>1292</v>
      </c>
      <c r="G726"/>
      <c r="H726"/>
      <c r="I726"/>
      <c r="J726"/>
      <c r="K726"/>
      <c r="L726"/>
      <c r="M726"/>
      <c r="N726"/>
      <c r="O726"/>
      <c r="P726"/>
      <c r="Q726"/>
      <c r="R726"/>
      <c r="S726"/>
      <c r="T726"/>
      <c r="U726"/>
      <c r="V726"/>
      <c r="W726"/>
      <c r="X726"/>
      <c r="Y726"/>
      <c r="Z726"/>
      <c r="AA726"/>
      <c r="AB726"/>
      <c r="AC726"/>
      <c r="AD726"/>
      <c r="AE726"/>
      <c r="AF726"/>
      <c r="AG726"/>
      <c r="AH726"/>
      <c r="AI726"/>
      <c r="AJ726"/>
      <c r="AK726"/>
      <c r="AL726"/>
    </row>
    <row r="727" spans="1:38" ht="15.75" customHeight="1">
      <c r="A727" s="98" t="s">
        <v>1318</v>
      </c>
      <c r="B727" s="98" t="s">
        <v>1329</v>
      </c>
      <c r="C727" s="98" t="s">
        <v>12</v>
      </c>
      <c r="E727"/>
      <c r="F727" t="s">
        <v>1293</v>
      </c>
      <c r="G727"/>
      <c r="H727"/>
      <c r="I727"/>
      <c r="J727"/>
      <c r="K727"/>
      <c r="L727"/>
      <c r="M727"/>
      <c r="N727"/>
      <c r="O727"/>
      <c r="P727"/>
      <c r="Q727"/>
      <c r="R727"/>
      <c r="S727"/>
      <c r="T727"/>
      <c r="U727"/>
      <c r="V727"/>
      <c r="W727"/>
      <c r="X727"/>
      <c r="Y727"/>
      <c r="Z727"/>
      <c r="AA727"/>
      <c r="AB727"/>
      <c r="AC727"/>
      <c r="AD727"/>
      <c r="AE727"/>
      <c r="AF727"/>
      <c r="AG727"/>
      <c r="AH727"/>
      <c r="AI727"/>
      <c r="AJ727"/>
      <c r="AK727"/>
      <c r="AL727"/>
    </row>
    <row r="728" spans="1:38" ht="15.75" customHeight="1">
      <c r="A728" s="98" t="s">
        <v>1318</v>
      </c>
      <c r="B728" s="98" t="s">
        <v>1330</v>
      </c>
      <c r="C728" s="98" t="s">
        <v>12</v>
      </c>
      <c r="E728"/>
      <c r="F728" t="s">
        <v>1294</v>
      </c>
      <c r="G728"/>
      <c r="H728"/>
      <c r="I728"/>
      <c r="J728"/>
      <c r="K728"/>
      <c r="L728"/>
      <c r="M728"/>
      <c r="N728"/>
      <c r="O728"/>
      <c r="P728"/>
      <c r="Q728"/>
      <c r="R728"/>
      <c r="S728"/>
      <c r="T728"/>
      <c r="U728"/>
      <c r="V728"/>
      <c r="W728"/>
      <c r="X728"/>
      <c r="Y728"/>
      <c r="Z728"/>
      <c r="AA728"/>
      <c r="AB728"/>
      <c r="AC728"/>
      <c r="AD728"/>
      <c r="AE728"/>
      <c r="AF728"/>
      <c r="AG728"/>
      <c r="AH728"/>
      <c r="AI728"/>
      <c r="AJ728"/>
      <c r="AK728"/>
      <c r="AL728"/>
    </row>
    <row r="729" spans="1:38" ht="15.75" customHeight="1">
      <c r="A729" s="98" t="s">
        <v>1318</v>
      </c>
      <c r="B729" s="98" t="s">
        <v>1331</v>
      </c>
      <c r="C729" s="98" t="s">
        <v>12</v>
      </c>
      <c r="E729"/>
      <c r="F729" t="s">
        <v>1295</v>
      </c>
      <c r="G729"/>
      <c r="H729"/>
      <c r="I729"/>
      <c r="J729"/>
      <c r="K729"/>
      <c r="L729"/>
      <c r="M729"/>
      <c r="N729"/>
      <c r="O729"/>
      <c r="P729"/>
      <c r="Q729"/>
      <c r="R729"/>
      <c r="S729"/>
      <c r="T729"/>
      <c r="U729"/>
      <c r="V729"/>
      <c r="W729"/>
      <c r="X729"/>
      <c r="Y729"/>
      <c r="Z729"/>
      <c r="AA729"/>
      <c r="AB729"/>
      <c r="AC729"/>
      <c r="AD729"/>
      <c r="AE729"/>
      <c r="AF729"/>
      <c r="AG729"/>
      <c r="AH729"/>
      <c r="AI729"/>
      <c r="AJ729"/>
      <c r="AK729"/>
      <c r="AL729"/>
    </row>
    <row r="730" spans="1:38" ht="15.75" customHeight="1">
      <c r="A730" s="98" t="s">
        <v>1318</v>
      </c>
      <c r="B730" s="98" t="s">
        <v>1332</v>
      </c>
      <c r="C730" s="98" t="s">
        <v>12</v>
      </c>
      <c r="E730"/>
      <c r="F730" t="s">
        <v>1296</v>
      </c>
      <c r="G730"/>
      <c r="H730"/>
      <c r="I730"/>
      <c r="J730"/>
      <c r="K730"/>
      <c r="L730"/>
      <c r="M730"/>
      <c r="N730"/>
      <c r="O730"/>
      <c r="P730"/>
      <c r="Q730"/>
      <c r="R730"/>
      <c r="S730"/>
      <c r="T730"/>
      <c r="U730"/>
      <c r="V730"/>
      <c r="W730"/>
      <c r="X730"/>
      <c r="Y730"/>
      <c r="Z730"/>
      <c r="AA730"/>
      <c r="AB730"/>
      <c r="AC730"/>
      <c r="AD730"/>
      <c r="AE730"/>
      <c r="AF730"/>
      <c r="AG730"/>
      <c r="AH730"/>
      <c r="AI730"/>
      <c r="AJ730"/>
      <c r="AK730"/>
      <c r="AL730"/>
    </row>
    <row r="731" spans="1:38" ht="15.75" customHeight="1">
      <c r="A731" s="98" t="s">
        <v>1318</v>
      </c>
      <c r="B731" s="98" t="s">
        <v>1333</v>
      </c>
      <c r="C731" s="98" t="s">
        <v>12</v>
      </c>
      <c r="E731"/>
      <c r="F731" t="s">
        <v>1297</v>
      </c>
      <c r="G731"/>
      <c r="H731"/>
      <c r="I731"/>
      <c r="J731"/>
      <c r="K731"/>
      <c r="L731"/>
      <c r="M731"/>
      <c r="N731"/>
      <c r="O731"/>
      <c r="P731"/>
      <c r="Q731"/>
      <c r="R731"/>
      <c r="S731"/>
      <c r="T731"/>
      <c r="U731"/>
      <c r="V731"/>
      <c r="W731"/>
      <c r="X731"/>
      <c r="Y731"/>
      <c r="Z731"/>
      <c r="AA731"/>
      <c r="AB731"/>
      <c r="AC731"/>
      <c r="AD731"/>
      <c r="AE731"/>
      <c r="AF731"/>
      <c r="AG731"/>
      <c r="AH731"/>
      <c r="AI731"/>
      <c r="AJ731"/>
      <c r="AK731"/>
      <c r="AL731"/>
    </row>
    <row r="732" spans="1:38" ht="15.75" customHeight="1">
      <c r="A732" s="98" t="s">
        <v>1318</v>
      </c>
      <c r="B732" s="98" t="s">
        <v>1334</v>
      </c>
      <c r="C732" s="98" t="s">
        <v>12</v>
      </c>
      <c r="E732"/>
      <c r="F732" t="s">
        <v>1298</v>
      </c>
      <c r="G732"/>
      <c r="H732"/>
      <c r="I732"/>
      <c r="J732"/>
      <c r="K732"/>
      <c r="L732"/>
      <c r="M732"/>
      <c r="N732"/>
      <c r="O732"/>
      <c r="P732"/>
      <c r="Q732"/>
      <c r="R732"/>
      <c r="S732"/>
      <c r="T732"/>
      <c r="U732"/>
      <c r="V732"/>
      <c r="W732"/>
      <c r="X732"/>
      <c r="Y732"/>
      <c r="Z732"/>
      <c r="AA732"/>
      <c r="AB732"/>
      <c r="AC732"/>
      <c r="AD732"/>
      <c r="AE732"/>
      <c r="AF732"/>
      <c r="AG732"/>
      <c r="AH732"/>
      <c r="AI732"/>
      <c r="AJ732"/>
      <c r="AK732"/>
      <c r="AL732"/>
    </row>
    <row r="733" spans="1:38" ht="15.75" customHeight="1">
      <c r="A733" s="98" t="s">
        <v>1318</v>
      </c>
      <c r="B733" s="98" t="s">
        <v>1335</v>
      </c>
      <c r="C733" s="98" t="s">
        <v>12</v>
      </c>
      <c r="E733"/>
      <c r="F733" t="s">
        <v>1299</v>
      </c>
      <c r="G733"/>
      <c r="H733"/>
      <c r="I733"/>
      <c r="J733"/>
      <c r="K733"/>
      <c r="L733"/>
      <c r="M733"/>
      <c r="N733"/>
      <c r="O733"/>
      <c r="P733"/>
      <c r="Q733"/>
      <c r="R733"/>
      <c r="S733"/>
      <c r="T733"/>
      <c r="U733"/>
      <c r="V733"/>
      <c r="W733"/>
      <c r="X733"/>
      <c r="Y733"/>
      <c r="Z733"/>
      <c r="AA733"/>
      <c r="AB733"/>
      <c r="AC733"/>
      <c r="AD733"/>
      <c r="AE733"/>
      <c r="AF733"/>
      <c r="AG733"/>
      <c r="AH733"/>
      <c r="AI733"/>
      <c r="AJ733"/>
      <c r="AK733"/>
      <c r="AL733"/>
    </row>
    <row r="734" spans="1:38" ht="15.75" customHeight="1">
      <c r="A734" s="98" t="s">
        <v>1318</v>
      </c>
      <c r="B734" s="98" t="s">
        <v>1336</v>
      </c>
      <c r="C734" s="98" t="s">
        <v>12</v>
      </c>
      <c r="E734"/>
      <c r="F734" t="s">
        <v>1300</v>
      </c>
      <c r="G734"/>
      <c r="H734"/>
      <c r="I734"/>
      <c r="J734"/>
      <c r="K734"/>
      <c r="L734"/>
      <c r="M734"/>
      <c r="N734"/>
      <c r="O734"/>
      <c r="P734"/>
      <c r="Q734"/>
      <c r="R734"/>
      <c r="S734"/>
      <c r="T734"/>
      <c r="U734"/>
      <c r="V734"/>
      <c r="W734"/>
      <c r="X734"/>
      <c r="Y734"/>
      <c r="Z734"/>
      <c r="AA734"/>
      <c r="AB734"/>
      <c r="AC734"/>
      <c r="AD734"/>
      <c r="AE734"/>
      <c r="AF734"/>
      <c r="AG734"/>
      <c r="AH734"/>
      <c r="AI734"/>
      <c r="AJ734"/>
      <c r="AK734"/>
      <c r="AL734"/>
    </row>
    <row r="735" spans="1:38" ht="15.75" customHeight="1">
      <c r="A735" s="98" t="s">
        <v>1318</v>
      </c>
      <c r="B735" s="98" t="s">
        <v>1337</v>
      </c>
      <c r="C735" s="98" t="s">
        <v>12</v>
      </c>
      <c r="E735"/>
      <c r="F735" t="s">
        <v>1301</v>
      </c>
      <c r="G735"/>
      <c r="H735"/>
      <c r="I735"/>
      <c r="J735"/>
      <c r="K735"/>
      <c r="L735"/>
      <c r="M735"/>
      <c r="N735"/>
      <c r="O735"/>
      <c r="P735"/>
      <c r="Q735"/>
      <c r="R735"/>
      <c r="S735"/>
      <c r="T735"/>
      <c r="U735"/>
      <c r="V735"/>
      <c r="W735"/>
      <c r="X735"/>
      <c r="Y735"/>
      <c r="Z735"/>
      <c r="AA735"/>
      <c r="AB735"/>
      <c r="AC735"/>
      <c r="AD735"/>
      <c r="AE735"/>
      <c r="AF735"/>
      <c r="AG735"/>
      <c r="AH735"/>
      <c r="AI735"/>
      <c r="AJ735"/>
      <c r="AK735"/>
      <c r="AL735"/>
    </row>
    <row r="736" spans="1:38" ht="15.75" customHeight="1">
      <c r="A736" s="98" t="s">
        <v>1318</v>
      </c>
      <c r="B736" s="98" t="s">
        <v>1338</v>
      </c>
      <c r="C736" s="98" t="s">
        <v>12</v>
      </c>
      <c r="E736"/>
      <c r="F736" t="s">
        <v>1302</v>
      </c>
      <c r="G736"/>
      <c r="H736"/>
      <c r="I736"/>
      <c r="J736"/>
      <c r="K736"/>
      <c r="L736"/>
      <c r="M736"/>
      <c r="N736"/>
      <c r="O736"/>
      <c r="P736"/>
      <c r="Q736"/>
      <c r="R736"/>
      <c r="S736"/>
      <c r="T736"/>
      <c r="U736"/>
      <c r="V736"/>
      <c r="W736"/>
      <c r="X736"/>
      <c r="Y736"/>
      <c r="Z736"/>
      <c r="AA736"/>
      <c r="AB736"/>
      <c r="AC736"/>
      <c r="AD736"/>
      <c r="AE736"/>
      <c r="AF736"/>
      <c r="AG736"/>
      <c r="AH736"/>
      <c r="AI736"/>
      <c r="AJ736"/>
      <c r="AK736"/>
      <c r="AL736"/>
    </row>
    <row r="737" spans="1:6" ht="15">
      <c r="A737" s="98" t="s">
        <v>1318</v>
      </c>
      <c r="B737" s="98" t="s">
        <v>1339</v>
      </c>
      <c r="C737" s="98" t="s">
        <v>12</v>
      </c>
      <c r="E737"/>
      <c r="F737" t="s">
        <v>1303</v>
      </c>
    </row>
    <row r="738" spans="1:6" ht="15">
      <c r="A738" s="98" t="s">
        <v>1318</v>
      </c>
      <c r="B738" s="98" t="s">
        <v>1340</v>
      </c>
      <c r="C738" s="98" t="s">
        <v>12</v>
      </c>
      <c r="E738" t="s">
        <v>1377</v>
      </c>
      <c r="F738"/>
    </row>
    <row r="739" spans="1:6" ht="15">
      <c r="A739" s="98" t="s">
        <v>1318</v>
      </c>
      <c r="B739" s="98" t="s">
        <v>1341</v>
      </c>
      <c r="C739" s="98" t="s">
        <v>12</v>
      </c>
      <c r="E739" t="s">
        <v>1304</v>
      </c>
      <c r="F739" t="s">
        <v>1305</v>
      </c>
    </row>
    <row r="740" spans="1:6" ht="15">
      <c r="E740"/>
      <c r="F740" t="s">
        <v>1306</v>
      </c>
    </row>
    <row r="741" spans="1:6" ht="15">
      <c r="E741"/>
      <c r="F741" t="s">
        <v>1307</v>
      </c>
    </row>
    <row r="742" spans="1:6" ht="15">
      <c r="E742"/>
      <c r="F742" t="s">
        <v>1308</v>
      </c>
    </row>
    <row r="743" spans="1:6" ht="15">
      <c r="E743"/>
      <c r="F743" t="s">
        <v>1309</v>
      </c>
    </row>
    <row r="744" spans="1:6" ht="15">
      <c r="E744"/>
      <c r="F744" t="s">
        <v>1310</v>
      </c>
    </row>
    <row r="745" spans="1:6" ht="15">
      <c r="E745"/>
      <c r="F745" t="s">
        <v>1311</v>
      </c>
    </row>
    <row r="746" spans="1:6" ht="15">
      <c r="E746"/>
      <c r="F746" t="s">
        <v>1312</v>
      </c>
    </row>
    <row r="747" spans="1:6" ht="15">
      <c r="E747"/>
      <c r="F747" t="s">
        <v>1313</v>
      </c>
    </row>
    <row r="748" spans="1:6" ht="15">
      <c r="E748"/>
      <c r="F748" t="s">
        <v>1314</v>
      </c>
    </row>
    <row r="749" spans="1:6" ht="15">
      <c r="E749"/>
      <c r="F749" t="s">
        <v>1315</v>
      </c>
    </row>
    <row r="750" spans="1:6" ht="15">
      <c r="E750"/>
      <c r="F750" t="s">
        <v>1316</v>
      </c>
    </row>
    <row r="751" spans="1:6" ht="15">
      <c r="E751"/>
      <c r="F751" t="s">
        <v>1317</v>
      </c>
    </row>
    <row r="752" spans="1:6" ht="15">
      <c r="E752" t="s">
        <v>1378</v>
      </c>
      <c r="F752"/>
    </row>
    <row r="753" spans="5:6" ht="15">
      <c r="E753" t="s">
        <v>1318</v>
      </c>
      <c r="F753" t="s">
        <v>1319</v>
      </c>
    </row>
    <row r="754" spans="5:6" ht="15">
      <c r="E754"/>
      <c r="F754" t="s">
        <v>1320</v>
      </c>
    </row>
    <row r="755" spans="5:6" ht="15">
      <c r="E755"/>
      <c r="F755" t="s">
        <v>1321</v>
      </c>
    </row>
    <row r="756" spans="5:6" ht="15">
      <c r="E756"/>
      <c r="F756" t="s">
        <v>1322</v>
      </c>
    </row>
    <row r="757" spans="5:6" ht="15">
      <c r="E757"/>
      <c r="F757" t="s">
        <v>1323</v>
      </c>
    </row>
    <row r="758" spans="5:6" ht="15">
      <c r="E758"/>
      <c r="F758" t="s">
        <v>1324</v>
      </c>
    </row>
    <row r="759" spans="5:6" ht="15">
      <c r="E759"/>
      <c r="F759" t="s">
        <v>1325</v>
      </c>
    </row>
    <row r="760" spans="5:6" ht="15">
      <c r="E760"/>
      <c r="F760" t="s">
        <v>1326</v>
      </c>
    </row>
    <row r="761" spans="5:6" ht="15">
      <c r="E761"/>
      <c r="F761" t="s">
        <v>1327</v>
      </c>
    </row>
    <row r="762" spans="5:6" ht="15">
      <c r="E762"/>
      <c r="F762" t="s">
        <v>1328</v>
      </c>
    </row>
    <row r="763" spans="5:6" ht="15">
      <c r="E763"/>
      <c r="F763" t="s">
        <v>1329</v>
      </c>
    </row>
    <row r="764" spans="5:6" ht="15">
      <c r="E764"/>
      <c r="F764" t="s">
        <v>1330</v>
      </c>
    </row>
    <row r="765" spans="5:6" ht="15">
      <c r="E765"/>
      <c r="F765" t="s">
        <v>1331</v>
      </c>
    </row>
    <row r="766" spans="5:6" ht="15">
      <c r="E766"/>
      <c r="F766" t="s">
        <v>1332</v>
      </c>
    </row>
    <row r="767" spans="5:6" ht="15">
      <c r="E767"/>
      <c r="F767" t="s">
        <v>1333</v>
      </c>
    </row>
    <row r="768" spans="5:6" ht="15">
      <c r="E768"/>
      <c r="F768" t="s">
        <v>1334</v>
      </c>
    </row>
    <row r="769" spans="5:6" ht="15">
      <c r="E769"/>
      <c r="F769" t="s">
        <v>1335</v>
      </c>
    </row>
    <row r="770" spans="5:6" ht="15">
      <c r="E770"/>
      <c r="F770" t="s">
        <v>1336</v>
      </c>
    </row>
    <row r="771" spans="5:6" ht="15">
      <c r="E771"/>
      <c r="F771" t="s">
        <v>1337</v>
      </c>
    </row>
    <row r="772" spans="5:6" ht="15">
      <c r="E772"/>
      <c r="F772" t="s">
        <v>1338</v>
      </c>
    </row>
    <row r="773" spans="5:6" ht="15">
      <c r="E773"/>
      <c r="F773" t="s">
        <v>1339</v>
      </c>
    </row>
    <row r="774" spans="5:6" ht="15">
      <c r="E774"/>
      <c r="F774" t="s">
        <v>1340</v>
      </c>
    </row>
    <row r="775" spans="5:6" ht="15">
      <c r="E775"/>
      <c r="F775" t="s">
        <v>1341</v>
      </c>
    </row>
    <row r="776" spans="5:6" ht="15">
      <c r="E776" t="s">
        <v>1379</v>
      </c>
      <c r="F776"/>
    </row>
    <row r="777" spans="5:6" ht="15.75" customHeight="1">
      <c r="E777" t="s">
        <v>1342</v>
      </c>
      <c r="F777"/>
    </row>
  </sheetData>
  <mergeCells count="2">
    <mergeCell ref="A1:C1"/>
    <mergeCell ref="A2:C2"/>
  </mergeCells>
  <hyperlinks>
    <hyperlink ref="A2" r:id="rId2"/>
  </hyperlinks>
  <pageMargins left="0.7" right="0.7" top="0.75" bottom="0.75" header="0.3" footer="0.3"/>
  <pageSetup orientation="portrait" r:id="rId3"/>
  <headerFooter>
    <oddFooter>&amp;C&amp;1#&amp;"Calibri"&amp;10&amp;K000000Clix Internal Circulation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80"/>
  <sheetViews>
    <sheetView showGridLines="0" topLeftCell="A45" zoomScaleNormal="100" workbookViewId="0">
      <selection activeCell="H61" sqref="H61"/>
    </sheetView>
  </sheetViews>
  <sheetFormatPr defaultColWidth="0" defaultRowHeight="15" zeroHeight="1"/>
  <cols>
    <col min="1" max="1" width="13.85546875" customWidth="1"/>
    <col min="2" max="3" width="9.140625" customWidth="1"/>
    <col min="4" max="4" width="9.85546875" bestFit="1" customWidth="1"/>
    <col min="5" max="5" width="9.85546875" customWidth="1"/>
    <col min="6" max="6" width="10.42578125" bestFit="1" customWidth="1"/>
    <col min="7" max="7" width="10.5703125" bestFit="1" customWidth="1"/>
    <col min="8" max="8" width="10.7109375" bestFit="1" customWidth="1"/>
    <col min="9" max="10" width="9.85546875" bestFit="1" customWidth="1"/>
    <col min="11" max="11" width="11.28515625" customWidth="1"/>
    <col min="12" max="12" width="10" bestFit="1" customWidth="1"/>
    <col min="13" max="14" width="9.85546875" bestFit="1" customWidth="1"/>
    <col min="15" max="16" width="9.140625" customWidth="1"/>
    <col min="17" max="16384" width="9.140625" hidden="1"/>
  </cols>
  <sheetData>
    <row r="1" spans="1:14" s="77" customFormat="1" ht="21">
      <c r="A1" s="640" t="s">
        <v>1454</v>
      </c>
      <c r="B1" s="640"/>
      <c r="C1" s="640"/>
      <c r="D1" s="640"/>
      <c r="E1" s="640"/>
      <c r="F1" s="640"/>
      <c r="G1" s="640"/>
      <c r="H1" s="640"/>
      <c r="I1" s="640"/>
      <c r="J1" s="640"/>
      <c r="K1" s="640"/>
      <c r="L1" s="640"/>
      <c r="M1" s="640"/>
      <c r="N1" s="640"/>
    </row>
    <row r="2" spans="1:14" ht="15" customHeight="1">
      <c r="A2" s="642" t="s">
        <v>8</v>
      </c>
      <c r="B2" s="642"/>
      <c r="C2" s="642"/>
      <c r="D2" s="643">
        <f>CAM!D18</f>
        <v>0</v>
      </c>
      <c r="E2" s="643"/>
      <c r="F2" s="643"/>
      <c r="G2" s="643"/>
      <c r="H2" s="643"/>
      <c r="I2" s="643"/>
      <c r="J2" s="588" t="s">
        <v>1456</v>
      </c>
      <c r="K2" s="588"/>
      <c r="L2" s="588"/>
      <c r="M2" s="644">
        <f>CAM!D8</f>
        <v>110</v>
      </c>
      <c r="N2" s="644"/>
    </row>
    <row r="3" spans="1:14" ht="15" customHeight="1">
      <c r="A3" s="642" t="s">
        <v>7</v>
      </c>
      <c r="B3" s="642"/>
      <c r="C3" s="642"/>
      <c r="D3" s="643" t="str">
        <f>CAM!L12</f>
        <v>DI</v>
      </c>
      <c r="E3" s="643"/>
      <c r="F3" s="643"/>
      <c r="G3" s="643"/>
      <c r="H3" s="643"/>
      <c r="I3" s="643"/>
      <c r="J3" s="588" t="s">
        <v>1457</v>
      </c>
      <c r="K3" s="588"/>
      <c r="L3" s="588"/>
      <c r="M3" s="645">
        <f>CAM!D9</f>
        <v>60</v>
      </c>
      <c r="N3" s="645"/>
    </row>
    <row r="4" spans="1:14" ht="15" customHeight="1">
      <c r="A4" s="642" t="s">
        <v>10</v>
      </c>
      <c r="B4" s="642"/>
      <c r="C4" s="642"/>
      <c r="D4" s="643" t="str">
        <f>CAM!P12</f>
        <v>Start Up</v>
      </c>
      <c r="E4" s="643"/>
      <c r="F4" s="643"/>
      <c r="G4" s="643"/>
      <c r="H4" s="643"/>
      <c r="I4" s="643"/>
      <c r="J4" s="588" t="s">
        <v>1402</v>
      </c>
      <c r="K4" s="588"/>
      <c r="L4" s="588"/>
      <c r="M4" s="648">
        <f>CAM!H9</f>
        <v>0.14000000000000001</v>
      </c>
      <c r="N4" s="645"/>
    </row>
    <row r="5" spans="1:14">
      <c r="A5" s="642" t="s">
        <v>309</v>
      </c>
      <c r="B5" s="642"/>
      <c r="C5" s="642"/>
      <c r="D5" s="643" t="str">
        <f>CAM!E44</f>
        <v>OR15 (B+) , Current, DI</v>
      </c>
      <c r="E5" s="643"/>
      <c r="F5" s="643"/>
      <c r="G5" s="643"/>
      <c r="H5" s="643"/>
      <c r="I5" s="643"/>
      <c r="J5" s="588" t="s">
        <v>1458</v>
      </c>
      <c r="K5" s="588"/>
      <c r="L5" s="588"/>
      <c r="M5" s="641">
        <f>IFERROR(-PMT(M4/12,M3,M2*100000),0)</f>
        <v>255950.75934326465</v>
      </c>
      <c r="N5" s="641"/>
    </row>
    <row r="6" spans="1:14" ht="15" customHeight="1">
      <c r="A6" s="642" t="s">
        <v>1455</v>
      </c>
      <c r="B6" s="642"/>
      <c r="C6" s="642"/>
      <c r="D6" s="643" t="str">
        <f>CAM!K44</f>
        <v>LR1 (5%), Other,Non Start-up</v>
      </c>
      <c r="E6" s="643"/>
      <c r="F6" s="643"/>
      <c r="G6" s="643"/>
      <c r="H6" s="643"/>
      <c r="I6" s="643"/>
      <c r="J6" s="588" t="s">
        <v>1461</v>
      </c>
      <c r="K6" s="588"/>
      <c r="L6" s="588"/>
      <c r="M6" s="646">
        <f>'Existing Loans'!M107</f>
        <v>0</v>
      </c>
      <c r="N6" s="647"/>
    </row>
    <row r="7" spans="1:14">
      <c r="A7" s="230" t="s">
        <v>1462</v>
      </c>
      <c r="B7" s="642" t="s">
        <v>1465</v>
      </c>
      <c r="C7" s="642"/>
      <c r="D7" s="304" t="s">
        <v>287</v>
      </c>
      <c r="E7" s="643" t="str">
        <f>IF(D7="Yes",'Fin-1'!B2,"")</f>
        <v>Dr. Ziaur Rahman</v>
      </c>
      <c r="F7" s="643"/>
      <c r="G7" s="643"/>
      <c r="H7" s="643"/>
      <c r="I7" s="643"/>
    </row>
    <row r="8" spans="1:14">
      <c r="A8" s="230" t="s">
        <v>1463</v>
      </c>
      <c r="B8" s="642" t="s">
        <v>1465</v>
      </c>
      <c r="C8" s="642"/>
      <c r="D8" s="304" t="s">
        <v>402</v>
      </c>
      <c r="E8" s="643">
        <f>IF(D8="Yes",'Fin-2'!B2,0)</f>
        <v>0</v>
      </c>
      <c r="F8" s="643"/>
      <c r="G8" s="643"/>
      <c r="H8" s="643"/>
      <c r="I8" s="643"/>
    </row>
    <row r="9" spans="1:14">
      <c r="A9" s="230" t="s">
        <v>1464</v>
      </c>
      <c r="B9" s="642" t="s">
        <v>1465</v>
      </c>
      <c r="C9" s="642"/>
      <c r="D9" s="304" t="s">
        <v>402</v>
      </c>
      <c r="E9" s="643">
        <f>IF(D9="Yes",'Fin-3'!B2,0)</f>
        <v>0</v>
      </c>
      <c r="F9" s="643"/>
      <c r="G9" s="643"/>
      <c r="H9" s="643"/>
      <c r="I9" s="643"/>
    </row>
    <row r="10" spans="1:14" s="238" customFormat="1">
      <c r="A10" s="642" t="s">
        <v>1772</v>
      </c>
      <c r="B10" s="642"/>
      <c r="C10" s="642"/>
      <c r="D10" s="304" t="s">
        <v>287</v>
      </c>
      <c r="E10" s="643" t="s">
        <v>1773</v>
      </c>
      <c r="F10" s="643"/>
      <c r="G10" s="643"/>
      <c r="H10" s="643"/>
      <c r="I10" s="305">
        <v>0.1</v>
      </c>
    </row>
    <row r="11" spans="1:14" s="238" customFormat="1">
      <c r="A11" s="506"/>
      <c r="B11" s="507"/>
      <c r="C11" s="508"/>
      <c r="D11" s="304"/>
      <c r="E11" s="643" t="s">
        <v>1774</v>
      </c>
      <c r="F11" s="643"/>
      <c r="G11" s="643"/>
      <c r="H11" s="643"/>
      <c r="I11" s="305">
        <v>0.3</v>
      </c>
    </row>
    <row r="12" spans="1:14"/>
    <row r="13" spans="1:14" s="229" customFormat="1" ht="45" customHeight="1">
      <c r="A13" s="650" t="s">
        <v>1472</v>
      </c>
      <c r="B13" s="651"/>
      <c r="C13" s="651"/>
      <c r="D13" s="651"/>
      <c r="E13" s="652"/>
      <c r="F13" s="649" t="str">
        <f>E7</f>
        <v>Dr. Ziaur Rahman</v>
      </c>
      <c r="G13" s="649"/>
      <c r="H13" s="649"/>
      <c r="I13" s="649">
        <f>E8</f>
        <v>0</v>
      </c>
      <c r="J13" s="649"/>
      <c r="K13" s="649"/>
      <c r="L13" s="649">
        <f>E9</f>
        <v>0</v>
      </c>
      <c r="M13" s="649"/>
      <c r="N13" s="649"/>
    </row>
    <row r="14" spans="1:14" s="229" customFormat="1" ht="45">
      <c r="A14" s="650" t="s">
        <v>442</v>
      </c>
      <c r="B14" s="651"/>
      <c r="C14" s="651"/>
      <c r="D14" s="651"/>
      <c r="E14" s="652"/>
      <c r="F14" s="299" t="str">
        <f>'Fin-1'!C3</f>
        <v>Audited and Filed</v>
      </c>
      <c r="G14" s="299" t="str">
        <f>'Fin-1'!C3</f>
        <v>Audited and Filed</v>
      </c>
      <c r="H14" s="299" t="str">
        <f>'Fin-1'!E3</f>
        <v>Provisional</v>
      </c>
      <c r="I14" s="299" t="str">
        <f>'Fin-2'!C3</f>
        <v>Audited and Filed</v>
      </c>
      <c r="J14" s="299" t="str">
        <f>'Fin-2'!D3</f>
        <v>Audited and Not Filed</v>
      </c>
      <c r="K14" s="299" t="str">
        <f>'Fin-2'!E3</f>
        <v>Audited and Filed</v>
      </c>
      <c r="L14" s="299" t="str">
        <f>'Fin-3'!C3</f>
        <v>Audited and Filed</v>
      </c>
      <c r="M14" s="299" t="str">
        <f>'Fin-3'!D3</f>
        <v>Audited and Filed</v>
      </c>
      <c r="N14" s="299" t="str">
        <f>'Fin-3'!E3</f>
        <v>Audited and Filed</v>
      </c>
    </row>
    <row r="15" spans="1:14" ht="15" customHeight="1">
      <c r="A15" s="650" t="s">
        <v>1770</v>
      </c>
      <c r="B15" s="651"/>
      <c r="C15" s="651"/>
      <c r="D15" s="651"/>
      <c r="E15" s="652"/>
      <c r="F15" s="300">
        <f>'Fin-1'!C4</f>
        <v>43921</v>
      </c>
      <c r="G15" s="300">
        <f>'Fin-1'!D4</f>
        <v>44286</v>
      </c>
      <c r="H15" s="300">
        <f>'Fin-1'!E4</f>
        <v>44651</v>
      </c>
      <c r="I15" s="300">
        <f t="shared" ref="I15:N15" si="0">F15</f>
        <v>43921</v>
      </c>
      <c r="J15" s="300">
        <f t="shared" si="0"/>
        <v>44286</v>
      </c>
      <c r="K15" s="300">
        <f t="shared" si="0"/>
        <v>44651</v>
      </c>
      <c r="L15" s="300">
        <f t="shared" si="0"/>
        <v>43921</v>
      </c>
      <c r="M15" s="300">
        <f t="shared" si="0"/>
        <v>44286</v>
      </c>
      <c r="N15" s="300">
        <f t="shared" si="0"/>
        <v>44651</v>
      </c>
    </row>
    <row r="16" spans="1:14" ht="15" customHeight="1">
      <c r="A16" s="588" t="s">
        <v>1466</v>
      </c>
      <c r="B16" s="588"/>
      <c r="C16" s="588"/>
      <c r="D16" s="588"/>
      <c r="E16" s="588"/>
      <c r="F16" s="242">
        <f>IF($D$7="Yes",'Fin-1'!C5+'Fin-1'!C6,0)</f>
        <v>0</v>
      </c>
      <c r="G16" s="242">
        <f>IF($D$7="Yes",'Fin-1'!D5+'Fin-1'!D6,0)</f>
        <v>0</v>
      </c>
      <c r="H16" s="242">
        <f>IF($D$7="Yes",'Fin-1'!E5+'Fin-1'!E6,0)</f>
        <v>0</v>
      </c>
      <c r="I16" s="242">
        <f>IF($D$8="Yes",'Fin-2'!C5+'Fin-2'!C6,0)</f>
        <v>0</v>
      </c>
      <c r="J16" s="242">
        <f>IF($D$8="Yes",'Fin-2'!D5+'Fin-2'!D6,0)</f>
        <v>0</v>
      </c>
      <c r="K16" s="242">
        <f>IF($D$8="Yes",'Fin-2'!E5+'Fin-2'!E6,0)</f>
        <v>0</v>
      </c>
      <c r="L16" s="242">
        <f>IF($D$9="Yes",'Fin-3'!C5+'Fin-3'!C6,0)</f>
        <v>0</v>
      </c>
      <c r="M16" s="242">
        <f>IF($D$9="Yes",'Fin-3'!D5+'Fin-3'!D6,0)</f>
        <v>0</v>
      </c>
      <c r="N16" s="242">
        <f>IF($D$9="Yes",'Fin-3'!E5+'Fin-3'!E6,0)</f>
        <v>0</v>
      </c>
    </row>
    <row r="17" spans="1:14" ht="15" customHeight="1">
      <c r="A17" s="588" t="s">
        <v>1471</v>
      </c>
      <c r="B17" s="588"/>
      <c r="C17" s="588"/>
      <c r="D17" s="588"/>
      <c r="E17" s="588"/>
      <c r="F17" s="301">
        <f>IF($D$7="Yes",'Fin-1'!C100,0)</f>
        <v>0</v>
      </c>
      <c r="G17" s="301">
        <f>IF($D$7="Yes",'Fin-1'!D100,0)</f>
        <v>0</v>
      </c>
      <c r="H17" s="301">
        <f>IF($D$7="Yes",'Fin-1'!E100,0)</f>
        <v>0</v>
      </c>
      <c r="I17" s="301">
        <f>IF($D$8="Yes",'Fin-2'!C100,0)</f>
        <v>0</v>
      </c>
      <c r="J17" s="301">
        <f>IF($D$8="Yes",'Fin-2'!D100,0)</f>
        <v>0</v>
      </c>
      <c r="K17" s="301">
        <f>IF($D$8="Yes",'Fin-2'!E100,0)</f>
        <v>0</v>
      </c>
      <c r="L17" s="301">
        <f>IF($D$9="Yes",'Fin-3'!C100,0)</f>
        <v>0</v>
      </c>
      <c r="M17" s="301">
        <f>IF($D$9="Yes",'Fin-3'!D100,0)</f>
        <v>0</v>
      </c>
      <c r="N17" s="301">
        <f>IF($D$9="Yes",'Fin-3'!E100,0)</f>
        <v>0</v>
      </c>
    </row>
    <row r="18" spans="1:14" ht="15" customHeight="1">
      <c r="A18" s="588" t="s">
        <v>1477</v>
      </c>
      <c r="B18" s="588"/>
      <c r="C18" s="588"/>
      <c r="D18" s="588"/>
      <c r="E18" s="588"/>
      <c r="F18" s="242">
        <f>IF($D$7="Yes",'Fin-1'!C29,0)</f>
        <v>0</v>
      </c>
      <c r="G18" s="242">
        <f>IF($D$7="Yes",'Fin-1'!D29,0)</f>
        <v>0</v>
      </c>
      <c r="H18" s="242">
        <f>IF($D$7="Yes",'Fin-1'!E29,0)</f>
        <v>0</v>
      </c>
      <c r="I18" s="242">
        <f>IF($D$8="Yes",'Fin-2'!C29,0)</f>
        <v>0</v>
      </c>
      <c r="J18" s="242">
        <f>IF($D$8="Yes",'Fin-2'!D29,0)</f>
        <v>0</v>
      </c>
      <c r="K18" s="242">
        <f>IF($D$8="Yes",'Fin-2'!E29,0)</f>
        <v>0</v>
      </c>
      <c r="L18" s="242">
        <f>IF($D$9="Yes",'Fin-3'!C29,0)</f>
        <v>0</v>
      </c>
      <c r="M18" s="242">
        <f>IF($D$9="Yes",'Fin-3'!D29,0)</f>
        <v>0</v>
      </c>
      <c r="N18" s="242">
        <f>IF($D$9="Yes",'Fin-3'!E29,0)</f>
        <v>0</v>
      </c>
    </row>
    <row r="19" spans="1:14" ht="15" customHeight="1">
      <c r="A19" s="588" t="s">
        <v>1473</v>
      </c>
      <c r="B19" s="588"/>
      <c r="C19" s="588"/>
      <c r="D19" s="588"/>
      <c r="E19" s="588"/>
      <c r="F19" s="242">
        <f>IF($D$7="Yes",'Fin-1'!C38,0)</f>
        <v>0</v>
      </c>
      <c r="G19" s="242">
        <f>IF($D$7="Yes",'Fin-1'!D38,0)</f>
        <v>0</v>
      </c>
      <c r="H19" s="242">
        <f>IF($D$7="Yes",'Fin-1'!E38,0)</f>
        <v>0</v>
      </c>
      <c r="I19" s="242">
        <f>IF($D$8="Yes",'Fin-2'!C38,0)</f>
        <v>0</v>
      </c>
      <c r="J19" s="242">
        <f>IF($D$8="Yes",'Fin-2'!D38,0)</f>
        <v>0</v>
      </c>
      <c r="K19" s="242">
        <f>IF($D$8="Yes",'Fin-2'!E38,0)</f>
        <v>0</v>
      </c>
      <c r="L19" s="242">
        <f>IF($D$9="Yes",'Fin-3'!C38,0)</f>
        <v>0</v>
      </c>
      <c r="M19" s="242">
        <f>IF($D$9="Yes",'Fin-3'!D38,0)</f>
        <v>0</v>
      </c>
      <c r="N19" s="242">
        <f>IF($D$9="Yes",'Fin-3'!E38,0)</f>
        <v>0</v>
      </c>
    </row>
    <row r="20" spans="1:14" s="238" customFormat="1" ht="15" customHeight="1">
      <c r="A20" s="588" t="s">
        <v>49</v>
      </c>
      <c r="B20" s="588"/>
      <c r="C20" s="588"/>
      <c r="D20" s="588"/>
      <c r="E20" s="588"/>
      <c r="F20" s="242">
        <f>IF($D$7="Yes",'Fin-1'!C41,0)</f>
        <v>0</v>
      </c>
      <c r="G20" s="242">
        <f>IF($D$7="Yes",'Fin-1'!D41,0)</f>
        <v>0</v>
      </c>
      <c r="H20" s="242">
        <f>IF($D$7="Yes",'Fin-1'!E41,0)</f>
        <v>0</v>
      </c>
      <c r="I20" s="242">
        <f>IF($D$8="Yes",'Fin-2'!C41,0)</f>
        <v>0</v>
      </c>
      <c r="J20" s="242">
        <f>IF($D$8="Yes",'Fin-2'!D41,0)</f>
        <v>0</v>
      </c>
      <c r="K20" s="242">
        <f>IF($D$8="Yes",'Fin-2'!E41,0)</f>
        <v>0</v>
      </c>
      <c r="L20" s="242">
        <f>IF($D$9="Yes",'Fin-3'!C41,0)</f>
        <v>0</v>
      </c>
      <c r="M20" s="242">
        <f>IF($D$9="Yes",'Fin-3'!D41,0)</f>
        <v>0</v>
      </c>
      <c r="N20" s="242">
        <f>IF($D$9="Yes",'Fin-3'!E41,0)</f>
        <v>0</v>
      </c>
    </row>
    <row r="21" spans="1:14" ht="15" customHeight="1">
      <c r="A21" s="588" t="s">
        <v>1478</v>
      </c>
      <c r="B21" s="588"/>
      <c r="C21" s="588"/>
      <c r="D21" s="588"/>
      <c r="E21" s="588"/>
      <c r="F21" s="242">
        <f>IF($D$7="Yes",'Fin-1'!C59,0)</f>
        <v>0</v>
      </c>
      <c r="G21" s="242">
        <f>IF($D$7="Yes",'Fin-1'!D59,0)</f>
        <v>0</v>
      </c>
      <c r="H21" s="242">
        <f>IF($D$7="Yes",'Fin-1'!E59,0)</f>
        <v>0</v>
      </c>
      <c r="I21" s="242">
        <f>IF($D$8="Yes",'Fin-2'!C59,0)</f>
        <v>0</v>
      </c>
      <c r="J21" s="242">
        <f>IF($D$8="Yes",'Fin-2'!D59,0)</f>
        <v>0</v>
      </c>
      <c r="K21" s="242">
        <f>IF($D$8="Yes",'Fin-2'!E59,0)</f>
        <v>0</v>
      </c>
      <c r="L21" s="242">
        <f>IF($D$9="Yes",'Fin-3'!C59,0)</f>
        <v>0</v>
      </c>
      <c r="M21" s="242">
        <f>IF($D$9="Yes",'Fin-3'!D59,0)</f>
        <v>0</v>
      </c>
      <c r="N21" s="242">
        <f>IF($D$9="Yes",'Fin-3'!E59,0)</f>
        <v>0</v>
      </c>
    </row>
    <row r="22" spans="1:14" ht="15" customHeight="1">
      <c r="A22" s="588" t="s">
        <v>1479</v>
      </c>
      <c r="B22" s="588"/>
      <c r="C22" s="588"/>
      <c r="D22" s="588"/>
      <c r="E22" s="588"/>
      <c r="F22" s="242">
        <f>IF($D$7="Yes",'Fin-1'!C53,0)</f>
        <v>0</v>
      </c>
      <c r="G22" s="242">
        <f>IF($D$7="Yes",'Fin-1'!D53,0)</f>
        <v>0</v>
      </c>
      <c r="H22" s="242">
        <f>IF($D$7="Yes",'Fin-1'!E53,0)</f>
        <v>0</v>
      </c>
      <c r="I22" s="242">
        <f>IF($D$8="Yes",'Fin-2'!C53,0)</f>
        <v>0</v>
      </c>
      <c r="J22" s="242">
        <f>IF($D$8="Yes",'Fin-2'!D53,0)</f>
        <v>0</v>
      </c>
      <c r="K22" s="242">
        <f>IF($D$8="Yes",'Fin-2'!E53,0)</f>
        <v>0</v>
      </c>
      <c r="L22" s="242">
        <f>IF($D$9="Yes",'Fin-3'!C53,0)</f>
        <v>0</v>
      </c>
      <c r="M22" s="242">
        <f>IF($D$9="Yes",'Fin-3'!D53,0)</f>
        <v>0</v>
      </c>
      <c r="N22" s="242">
        <f>IF($D$9="Yes",'Fin-3'!E53,0)</f>
        <v>0</v>
      </c>
    </row>
    <row r="23" spans="1:14" ht="15" customHeight="1">
      <c r="A23" s="588" t="s">
        <v>1513</v>
      </c>
      <c r="B23" s="588"/>
      <c r="C23" s="588"/>
      <c r="D23" s="588"/>
      <c r="E23" s="588"/>
      <c r="F23" s="242">
        <f>IF($D$7="Yes",'Fin-1'!C59-'Fin-1'!C54-'Fin-1'!C58+'Fin-1'!C62,0)</f>
        <v>0</v>
      </c>
      <c r="G23" s="242">
        <f>IF($D$7="Yes",'Fin-1'!D59-'Fin-1'!D54-'Fin-1'!D58+'Fin-1'!D62,0)</f>
        <v>0</v>
      </c>
      <c r="H23" s="242">
        <f>IF($D$7="Yes",'Fin-1'!E59-'Fin-1'!E54-'Fin-1'!E58+'Fin-1'!E62,0)</f>
        <v>0</v>
      </c>
      <c r="I23" s="242">
        <f>IF($D$8="Yes",'Fin-2'!C59-'Fin-2'!C54-'Fin-2'!C58+'Fin-2'!C62,0)</f>
        <v>0</v>
      </c>
      <c r="J23" s="242">
        <f>IF($D$8="Yes",'Fin-2'!D59-'Fin-2'!D54-'Fin-2'!D58+'Fin-2'!D62,0)</f>
        <v>0</v>
      </c>
      <c r="K23" s="242">
        <f>IF($D$8="Yes",'Fin-2'!E59-'Fin-2'!E54-'Fin-2'!E58+'Fin-2'!E62,0)</f>
        <v>0</v>
      </c>
      <c r="L23" s="242">
        <f>IF($D$9="Yes",'Fin-3'!C59-'Fin-3'!C54-'Fin-3'!C58+'Fin-3'!C62,0)</f>
        <v>0</v>
      </c>
      <c r="M23" s="242">
        <f>IF($D$9="Yes",'Fin-3'!D59-'Fin-3'!D54-'Fin-3'!D58+'Fin-3'!D62,0)</f>
        <v>0</v>
      </c>
      <c r="N23" s="242">
        <f>IF($D$9="Yes",'Fin-3'!E59-'Fin-3'!E54-'Fin-3'!E58+'Fin-3'!E62,0)</f>
        <v>0</v>
      </c>
    </row>
    <row r="24" spans="1:14" s="108" customFormat="1">
      <c r="A24" s="653"/>
      <c r="B24" s="654"/>
      <c r="C24" s="654"/>
      <c r="D24" s="654"/>
      <c r="E24" s="654"/>
      <c r="F24" s="654"/>
      <c r="G24" s="654"/>
      <c r="H24" s="654"/>
      <c r="I24" s="654"/>
      <c r="J24" s="654"/>
      <c r="K24" s="654"/>
      <c r="L24" s="654"/>
      <c r="M24" s="654"/>
      <c r="N24" s="654"/>
    </row>
    <row r="25" spans="1:14" s="108" customFormat="1" ht="30">
      <c r="A25" s="588" t="s">
        <v>442</v>
      </c>
      <c r="B25" s="588"/>
      <c r="C25" s="588"/>
      <c r="D25" s="588"/>
      <c r="E25" s="588"/>
      <c r="F25" s="299" t="str">
        <f t="shared" ref="F25:H26" si="1">F14</f>
        <v>Audited and Filed</v>
      </c>
      <c r="G25" s="299" t="str">
        <f t="shared" si="1"/>
        <v>Audited and Filed</v>
      </c>
      <c r="H25" s="299" t="str">
        <f t="shared" si="1"/>
        <v>Provisional</v>
      </c>
      <c r="I25" s="299" t="s">
        <v>1771</v>
      </c>
    </row>
    <row r="26" spans="1:14" s="108" customFormat="1">
      <c r="A26" s="588" t="s">
        <v>1454</v>
      </c>
      <c r="B26" s="588"/>
      <c r="C26" s="588"/>
      <c r="D26" s="588"/>
      <c r="E26" s="588"/>
      <c r="F26" s="109">
        <f t="shared" si="1"/>
        <v>43921</v>
      </c>
      <c r="G26" s="109">
        <f t="shared" si="1"/>
        <v>44286</v>
      </c>
      <c r="H26" s="303">
        <f t="shared" si="1"/>
        <v>44651</v>
      </c>
      <c r="I26" s="303">
        <f>IF(YEAR(G26)=2020,DATE(YEAR(G26)+2,MONTH(G26),DAY(G26)),IF(YEAR(G26)=2021,DATE(YEAR(G26)+1,MONTH(G26),DAY(G26)),0))</f>
        <v>44651</v>
      </c>
      <c r="J26" s="318"/>
    </row>
    <row r="27" spans="1:14">
      <c r="A27" s="588" t="s">
        <v>1466</v>
      </c>
      <c r="B27" s="588"/>
      <c r="C27" s="588"/>
      <c r="D27" s="588"/>
      <c r="E27" s="588"/>
      <c r="F27" s="110">
        <f>IFERROR(F16+I16+L16,0)</f>
        <v>0</v>
      </c>
      <c r="G27" s="110">
        <f>IFERROR(G16+J16+M16,0)</f>
        <v>0</v>
      </c>
      <c r="H27" s="110">
        <f>IFERROR(H16+K16+N16,0)</f>
        <v>0</v>
      </c>
      <c r="I27" s="110">
        <f>IFERROR(IF(D10="Yes",((G16+J16+M16)+((G16+J16+M16)*I10)+('Forward Looking DSCR'!B33/100000)),((F16+I16+L16)+((F16+I16+L16)*I10)+('Forward Looking DSCR'!B33/100000))),0)</f>
        <v>144</v>
      </c>
    </row>
    <row r="28" spans="1:14">
      <c r="A28" s="588" t="s">
        <v>1476</v>
      </c>
      <c r="B28" s="588"/>
      <c r="C28" s="588"/>
      <c r="D28" s="588"/>
      <c r="E28" s="588"/>
      <c r="F28" s="110">
        <f>IFERROR((F18-F19)+(I18-I19)+(L18-L19),0)</f>
        <v>0</v>
      </c>
      <c r="G28" s="110">
        <f>IFERROR((G18-G19)+(J18-J19)+(M18-M19),0)</f>
        <v>0</v>
      </c>
      <c r="H28" s="110">
        <f>IFERROR((H18-H19)+(K18-K19)+(N18-N19),0)</f>
        <v>0</v>
      </c>
      <c r="I28" s="110">
        <f>IF(D10="Yes",((((G16+J16+M16)*I10)+(G16+J16+M16))*I11-(G19+J19+M19)+('Forward Looking DSCR'!B51/100000)),((((F16+I16+L16)*I10)+(F16+I16+L16))*I11-(F19+I19+L19)+('Forward Looking DSCR'!B51/100000)))</f>
        <v>58.8</v>
      </c>
    </row>
    <row r="29" spans="1:14">
      <c r="A29" s="588" t="s">
        <v>1510</v>
      </c>
      <c r="B29" s="588"/>
      <c r="C29" s="588"/>
      <c r="D29" s="588"/>
      <c r="E29" s="588"/>
      <c r="F29" s="111">
        <f>IFERROR(F28/F27,0)</f>
        <v>0</v>
      </c>
      <c r="G29" s="111">
        <f>IFERROR(G28/G27,0)</f>
        <v>0</v>
      </c>
      <c r="H29" s="111">
        <f>IFERROR(H28/H27,0)</f>
        <v>0</v>
      </c>
      <c r="I29" s="111">
        <f>IFERROR(I28/I27,0)</f>
        <v>0.40833333333333333</v>
      </c>
    </row>
    <row r="30" spans="1:14">
      <c r="A30" s="588" t="s">
        <v>1744</v>
      </c>
      <c r="B30" s="588"/>
      <c r="C30" s="588"/>
      <c r="D30" s="588"/>
      <c r="E30" s="588"/>
      <c r="F30" s="110">
        <f>IFERROR(F23+I23+L23,0)</f>
        <v>0</v>
      </c>
      <c r="G30" s="110">
        <f>IFERROR(G23+J23+M23,0)</f>
        <v>0</v>
      </c>
      <c r="H30" s="110">
        <f>IFERROR(H23+K23+N23,0)</f>
        <v>0</v>
      </c>
      <c r="I30" s="110">
        <f>IFERROR(IF(D10="Yes",G23+J23+M23,F23+I23+L23),0)</f>
        <v>0</v>
      </c>
    </row>
    <row r="31" spans="1:14" s="238" customFormat="1">
      <c r="A31" s="588" t="s">
        <v>1745</v>
      </c>
      <c r="B31" s="588"/>
      <c r="C31" s="588"/>
      <c r="D31" s="588"/>
      <c r="E31" s="588"/>
      <c r="F31" s="110">
        <f>IFERROR(F23+I23+L23+M2,0)</f>
        <v>110</v>
      </c>
      <c r="G31" s="110">
        <f>IFERROR(G23+J23+M23+M2,0)</f>
        <v>110</v>
      </c>
      <c r="H31" s="110">
        <f>IFERROR(H23+K23+N23+M2,0)</f>
        <v>110</v>
      </c>
      <c r="I31" s="110">
        <f>IFERROR(IF(D10="Yes",G23+J23+M23+M2,F23+I23+L23+M2),0)</f>
        <v>110</v>
      </c>
    </row>
    <row r="32" spans="1:14" s="238" customFormat="1">
      <c r="A32" s="588" t="s">
        <v>1727</v>
      </c>
      <c r="B32" s="588"/>
      <c r="C32" s="588"/>
      <c r="D32" s="588"/>
      <c r="E32" s="588"/>
      <c r="F32" s="242">
        <f>HLOOKUP(F15,'Existing Loans'!$AK$107:$AQ$108,2,FALSE)/100000</f>
        <v>0</v>
      </c>
      <c r="G32" s="242">
        <f>HLOOKUP(G15,'Existing Loans'!$AK$107:$AQ$108,2,FALSE)/100000</f>
        <v>0</v>
      </c>
      <c r="H32" s="242">
        <f>HLOOKUP(H15,'Existing Loans'!$AK$107:$AS$108,2,FALSE)/100000</f>
        <v>0</v>
      </c>
      <c r="I32" s="242">
        <f>HLOOKUP(I26,'Existing Loans'!AK107:AS108,2,FALSE)/100000</f>
        <v>0</v>
      </c>
    </row>
    <row r="33" spans="1:9">
      <c r="A33" s="588" t="s">
        <v>1474</v>
      </c>
      <c r="B33" s="588"/>
      <c r="C33" s="588"/>
      <c r="D33" s="588"/>
      <c r="E33" s="588"/>
      <c r="F33" s="110">
        <f>IFERROR((M6/100000)*12,0)</f>
        <v>0</v>
      </c>
      <c r="G33" s="110">
        <f>IFERROR((M6/100000)*12,0)</f>
        <v>0</v>
      </c>
      <c r="H33" s="110">
        <f>IFERROR((M6/100000)*12,0)</f>
        <v>0</v>
      </c>
      <c r="I33" s="110">
        <f>IFERROR((M6/100000)*12,0)</f>
        <v>0</v>
      </c>
    </row>
    <row r="34" spans="1:9">
      <c r="A34" s="588" t="s">
        <v>1475</v>
      </c>
      <c r="B34" s="588"/>
      <c r="C34" s="588"/>
      <c r="D34" s="588"/>
      <c r="E34" s="588"/>
      <c r="F34" s="110">
        <f>IFERROR((M5/100000)*12,0)</f>
        <v>30.714091121191757</v>
      </c>
      <c r="G34" s="110">
        <f>IFERROR((M5/100000)*12,0)</f>
        <v>30.714091121191757</v>
      </c>
      <c r="H34" s="242">
        <f>IFERROR((M5/100000)*12,0)</f>
        <v>30.714091121191757</v>
      </c>
      <c r="I34" s="110">
        <f>IFERROR((M5/100000)*12,0)</f>
        <v>30.714091121191757</v>
      </c>
    </row>
    <row r="35" spans="1:9">
      <c r="A35" s="588" t="s">
        <v>1478</v>
      </c>
      <c r="B35" s="588"/>
      <c r="C35" s="588"/>
      <c r="D35" s="588"/>
      <c r="E35" s="588"/>
      <c r="F35" s="110">
        <f t="shared" ref="F35:H36" si="2">IFERROR(F21+I21+L21,0)</f>
        <v>0</v>
      </c>
      <c r="G35" s="110">
        <f t="shared" si="2"/>
        <v>0</v>
      </c>
      <c r="H35" s="110">
        <f t="shared" si="2"/>
        <v>0</v>
      </c>
      <c r="I35" s="110">
        <f>IFERROR(IF(D10="Yes",G21+J21+M21,F23+I23+L23+M2),0)</f>
        <v>0</v>
      </c>
    </row>
    <row r="36" spans="1:9">
      <c r="A36" s="588" t="s">
        <v>1479</v>
      </c>
      <c r="B36" s="588"/>
      <c r="C36" s="588"/>
      <c r="D36" s="588"/>
      <c r="E36" s="588"/>
      <c r="F36" s="110">
        <f t="shared" si="2"/>
        <v>0</v>
      </c>
      <c r="G36" s="110">
        <f t="shared" si="2"/>
        <v>0</v>
      </c>
      <c r="H36" s="110">
        <f t="shared" si="2"/>
        <v>0</v>
      </c>
      <c r="I36" s="110">
        <f>IFERROR(IF(D10="Yes",G22+J22+M22,F22+I22+L22),0)</f>
        <v>0</v>
      </c>
    </row>
    <row r="37" spans="1:9">
      <c r="A37" s="588" t="s">
        <v>1467</v>
      </c>
      <c r="B37" s="588"/>
      <c r="C37" s="588"/>
      <c r="D37" s="588"/>
      <c r="E37" s="588"/>
      <c r="F37" s="110">
        <f>IFERROR(F28/F32,0)</f>
        <v>0</v>
      </c>
      <c r="G37" s="110">
        <f>IFERROR(G28/G32,0)</f>
        <v>0</v>
      </c>
      <c r="H37" s="110">
        <f>IFERROR(H28/H32,0)</f>
        <v>0</v>
      </c>
      <c r="I37" s="110">
        <f>IFERROR(I28/I32,0)</f>
        <v>0</v>
      </c>
    </row>
    <row r="38" spans="1:9">
      <c r="A38" s="588" t="s">
        <v>1468</v>
      </c>
      <c r="B38" s="588"/>
      <c r="C38" s="588"/>
      <c r="D38" s="588"/>
      <c r="E38" s="588"/>
      <c r="F38" s="110">
        <f>IFERROR(F28/(F33+F34),0)</f>
        <v>0</v>
      </c>
      <c r="G38" s="110">
        <f>IFERROR(G28/(G33+G34),0)</f>
        <v>0</v>
      </c>
      <c r="H38" s="110">
        <f>IFERROR(H28/(H33+H34),0)</f>
        <v>0</v>
      </c>
      <c r="I38" s="110">
        <f>IFERROR(I28/(I33+I34),0)</f>
        <v>1.9144307336976625</v>
      </c>
    </row>
    <row r="39" spans="1:9">
      <c r="A39" s="588" t="s">
        <v>1728</v>
      </c>
      <c r="B39" s="588"/>
      <c r="C39" s="588"/>
      <c r="D39" s="588"/>
      <c r="E39" s="588"/>
      <c r="F39" s="110">
        <f>IFERROR(F35/F36,0)</f>
        <v>0</v>
      </c>
      <c r="G39" s="110">
        <f>IFERROR(G35/G36,0)</f>
        <v>0</v>
      </c>
      <c r="H39" s="110">
        <f>IFERROR(H35/H36,0)</f>
        <v>0</v>
      </c>
      <c r="I39" s="110">
        <f>IFERROR(I35/I36,0)</f>
        <v>0</v>
      </c>
    </row>
    <row r="40" spans="1:9">
      <c r="A40" s="588" t="s">
        <v>1470</v>
      </c>
      <c r="B40" s="588"/>
      <c r="C40" s="588"/>
      <c r="D40" s="588"/>
      <c r="E40" s="588"/>
      <c r="F40" s="110">
        <f>IFERROR((F35+M2)/F36,0)</f>
        <v>0</v>
      </c>
      <c r="G40" s="110">
        <f>IFERROR((G35+N2)/G36,0)</f>
        <v>0</v>
      </c>
      <c r="H40" s="110">
        <f>IFERROR((H35+O2)/H36,0)</f>
        <v>0</v>
      </c>
      <c r="I40" s="110">
        <f>IFERROR((I35+M2)/I36,0)</f>
        <v>0</v>
      </c>
    </row>
    <row r="41" spans="1:9">
      <c r="A41" s="588" t="s">
        <v>1746</v>
      </c>
      <c r="B41" s="588"/>
      <c r="C41" s="588"/>
      <c r="D41" s="588"/>
      <c r="E41" s="588"/>
      <c r="F41" s="110">
        <f>IFERROR(F30/F28,0)</f>
        <v>0</v>
      </c>
      <c r="G41" s="110">
        <f>IFERROR(G30/G28,0)</f>
        <v>0</v>
      </c>
      <c r="H41" s="110">
        <f>IFERROR(H30/H28,0)</f>
        <v>0</v>
      </c>
      <c r="I41" s="110">
        <f>IFERROR(I30/I28,0)</f>
        <v>0</v>
      </c>
    </row>
    <row r="42" spans="1:9">
      <c r="A42" s="588" t="s">
        <v>1747</v>
      </c>
      <c r="B42" s="588"/>
      <c r="C42" s="588"/>
      <c r="D42" s="588"/>
      <c r="E42" s="588"/>
      <c r="F42" s="110">
        <f>IFERROR(F31/F28,0)</f>
        <v>0</v>
      </c>
      <c r="G42" s="110">
        <f>IFERROR(G31/G28,0)</f>
        <v>0</v>
      </c>
      <c r="H42" s="110">
        <f>IFERROR(H31/H28,0)</f>
        <v>0</v>
      </c>
      <c r="I42" s="110">
        <f>IFERROR(I31/I28,0)</f>
        <v>1.870748299319728</v>
      </c>
    </row>
    <row r="43" spans="1:9"/>
    <row r="44" spans="1:9"/>
    <row r="45" spans="1:9">
      <c r="A45" s="660" t="s">
        <v>1694</v>
      </c>
      <c r="B45" s="660"/>
      <c r="C45" s="660"/>
      <c r="D45" s="660"/>
      <c r="E45" s="660"/>
      <c r="F45" s="660"/>
      <c r="G45" s="660"/>
      <c r="H45" s="660"/>
    </row>
    <row r="46" spans="1:9">
      <c r="A46" s="655" t="s">
        <v>393</v>
      </c>
      <c r="B46" s="656" t="s">
        <v>1679</v>
      </c>
      <c r="C46" s="656"/>
      <c r="D46" s="656"/>
      <c r="E46" s="656"/>
      <c r="F46" s="656"/>
      <c r="G46" s="656"/>
      <c r="H46" s="117">
        <f>CAM!F30</f>
        <v>0</v>
      </c>
    </row>
    <row r="47" spans="1:9">
      <c r="A47" s="655"/>
      <c r="B47" s="656" t="s">
        <v>1680</v>
      </c>
      <c r="C47" s="656"/>
      <c r="D47" s="656"/>
      <c r="E47" s="656"/>
      <c r="F47" s="656"/>
      <c r="G47" s="656"/>
      <c r="H47" s="117">
        <f>CAM!L31</f>
        <v>17</v>
      </c>
    </row>
    <row r="48" spans="1:9" s="238" customFormat="1">
      <c r="A48" s="655"/>
      <c r="B48" s="656" t="s">
        <v>1681</v>
      </c>
      <c r="C48" s="656"/>
      <c r="D48" s="656"/>
      <c r="E48" s="656"/>
      <c r="F48" s="656"/>
      <c r="G48" s="656"/>
      <c r="H48" s="239">
        <f>CAM!G31</f>
        <v>5</v>
      </c>
    </row>
    <row r="49" spans="1:8" s="238" customFormat="1">
      <c r="A49" s="655" t="s">
        <v>403</v>
      </c>
      <c r="B49" s="656" t="s">
        <v>1687</v>
      </c>
      <c r="C49" s="656"/>
      <c r="D49" s="656"/>
      <c r="E49" s="656"/>
      <c r="F49" s="656"/>
      <c r="G49" s="656"/>
      <c r="H49" s="117">
        <f>CAM!K19</f>
        <v>0</v>
      </c>
    </row>
    <row r="50" spans="1:8" s="238" customFormat="1">
      <c r="A50" s="655"/>
      <c r="B50" s="656" t="s">
        <v>438</v>
      </c>
      <c r="C50" s="656"/>
      <c r="D50" s="656"/>
      <c r="E50" s="656"/>
      <c r="F50" s="656"/>
      <c r="G50" s="656"/>
      <c r="H50" s="239">
        <f>CAM!K18</f>
        <v>0</v>
      </c>
    </row>
    <row r="51" spans="1:8" s="238" customFormat="1">
      <c r="A51" s="655"/>
      <c r="B51" s="656" t="s">
        <v>1683</v>
      </c>
      <c r="C51" s="656"/>
      <c r="D51" s="656"/>
      <c r="E51" s="656"/>
      <c r="F51" s="656"/>
      <c r="G51" s="656"/>
      <c r="H51" s="239" t="str">
        <f>'Existing Loans'!F4</f>
        <v>No</v>
      </c>
    </row>
    <row r="52" spans="1:8" s="238" customFormat="1">
      <c r="A52" s="655"/>
      <c r="B52" s="656" t="s">
        <v>1685</v>
      </c>
      <c r="C52" s="656"/>
      <c r="D52" s="656"/>
      <c r="E52" s="656"/>
      <c r="F52" s="656"/>
      <c r="G52" s="656"/>
      <c r="H52" s="239" t="str">
        <f>'Existing Loans'!K4</f>
        <v>STD</v>
      </c>
    </row>
    <row r="53" spans="1:8" s="238" customFormat="1">
      <c r="A53" s="655"/>
      <c r="B53" s="656" t="s">
        <v>1686</v>
      </c>
      <c r="C53" s="656"/>
      <c r="D53" s="656"/>
      <c r="E53" s="656"/>
      <c r="F53" s="656"/>
      <c r="G53" s="656"/>
      <c r="H53" s="239" t="str">
        <f>'Existing Loans'!C3</f>
        <v>Standard</v>
      </c>
    </row>
    <row r="54" spans="1:8" s="238" customFormat="1">
      <c r="A54" s="655" t="s">
        <v>404</v>
      </c>
      <c r="B54" s="656" t="s">
        <v>1689</v>
      </c>
      <c r="C54" s="656"/>
      <c r="D54" s="656"/>
      <c r="E54" s="656"/>
      <c r="F54" s="656"/>
      <c r="G54" s="656"/>
      <c r="H54" s="241">
        <f>IFERROR((G27-F27)/F27,0)</f>
        <v>0</v>
      </c>
    </row>
    <row r="55" spans="1:8" s="238" customFormat="1">
      <c r="A55" s="655"/>
      <c r="B55" s="656" t="s">
        <v>1690</v>
      </c>
      <c r="C55" s="656"/>
      <c r="D55" s="656"/>
      <c r="E55" s="656"/>
      <c r="F55" s="656"/>
      <c r="G55" s="656"/>
      <c r="H55" s="241">
        <f>IFERROR((G28-F28)/F28,0)</f>
        <v>0</v>
      </c>
    </row>
    <row r="56" spans="1:8" s="238" customFormat="1">
      <c r="A56" s="655"/>
      <c r="B56" s="656" t="s">
        <v>1691</v>
      </c>
      <c r="C56" s="656"/>
      <c r="D56" s="656"/>
      <c r="E56" s="656"/>
      <c r="F56" s="656"/>
      <c r="G56" s="656"/>
      <c r="H56" s="239" t="str">
        <f>IF(AND((F22+I22+L22)&gt;=0,(G22+J22+M22)&gt;=0),"Yes","No")</f>
        <v>Yes</v>
      </c>
    </row>
    <row r="57" spans="1:8" s="238" customFormat="1">
      <c r="A57" s="655"/>
      <c r="B57" s="656" t="s">
        <v>1692</v>
      </c>
      <c r="C57" s="656"/>
      <c r="D57" s="656"/>
      <c r="E57" s="656"/>
      <c r="F57" s="656"/>
      <c r="G57" s="656"/>
      <c r="H57" s="239" t="str">
        <f>IF(AND((F20+I20+L20)&gt;=0,(G20+J20+M20)&gt;=0),"Yes","No")</f>
        <v>Yes</v>
      </c>
    </row>
    <row r="58" spans="1:8" s="238" customFormat="1">
      <c r="A58" s="655"/>
      <c r="B58" s="656" t="s">
        <v>1469</v>
      </c>
      <c r="C58" s="656"/>
      <c r="D58" s="656"/>
      <c r="E58" s="656"/>
      <c r="F58" s="656"/>
      <c r="G58" s="656"/>
      <c r="H58" s="243">
        <f>IF(D10="Yes",G39,F39)</f>
        <v>0</v>
      </c>
    </row>
    <row r="59" spans="1:8" s="238" customFormat="1">
      <c r="A59" s="655"/>
      <c r="B59" s="656" t="s">
        <v>1467</v>
      </c>
      <c r="C59" s="656"/>
      <c r="D59" s="656"/>
      <c r="E59" s="656"/>
      <c r="F59" s="656"/>
      <c r="G59" s="656"/>
      <c r="H59" s="243">
        <f>IF(D10="Yes",G37,F37)</f>
        <v>0</v>
      </c>
    </row>
    <row r="60" spans="1:8" s="238" customFormat="1">
      <c r="A60" s="655"/>
      <c r="B60" s="656" t="s">
        <v>1468</v>
      </c>
      <c r="C60" s="656"/>
      <c r="D60" s="656"/>
      <c r="E60" s="656"/>
      <c r="F60" s="656"/>
      <c r="G60" s="656"/>
      <c r="H60" s="243">
        <f>IF(D10="Yes",G38,F38)</f>
        <v>0</v>
      </c>
    </row>
    <row r="61" spans="1:8" s="238" customFormat="1">
      <c r="A61" s="655"/>
      <c r="B61" s="656" t="s">
        <v>1769</v>
      </c>
      <c r="C61" s="656"/>
      <c r="D61" s="656"/>
      <c r="E61" s="656"/>
      <c r="F61" s="656"/>
      <c r="G61" s="656"/>
      <c r="H61" s="243">
        <f>I38</f>
        <v>1.9144307336976625</v>
      </c>
    </row>
    <row r="62" spans="1:8" s="238" customFormat="1">
      <c r="A62" s="657" t="s">
        <v>377</v>
      </c>
      <c r="B62" s="656" t="s">
        <v>1723</v>
      </c>
      <c r="C62" s="656"/>
      <c r="D62" s="656"/>
      <c r="E62" s="656"/>
      <c r="F62" s="656"/>
      <c r="G62" s="656"/>
      <c r="H62" s="241" t="e">
        <f>Banking!R10</f>
        <v>#DIV/0!</v>
      </c>
    </row>
    <row r="63" spans="1:8" s="238" customFormat="1">
      <c r="A63" s="658"/>
      <c r="B63" s="656" t="s">
        <v>1702</v>
      </c>
      <c r="C63" s="656"/>
      <c r="D63" s="656"/>
      <c r="E63" s="656"/>
      <c r="F63" s="656"/>
      <c r="G63" s="656"/>
      <c r="H63" s="243">
        <f>Banking!N10</f>
        <v>2.4116060184797012</v>
      </c>
    </row>
    <row r="64" spans="1:8" s="238" customFormat="1">
      <c r="A64" s="658"/>
      <c r="B64" s="656" t="s">
        <v>1698</v>
      </c>
      <c r="C64" s="656"/>
      <c r="D64" s="656"/>
      <c r="E64" s="656"/>
      <c r="F64" s="656"/>
      <c r="G64" s="656"/>
      <c r="H64" s="241">
        <f>Banking!L9</f>
        <v>0</v>
      </c>
    </row>
    <row r="65" spans="1:8" s="238" customFormat="1">
      <c r="A65" s="659"/>
      <c r="B65" s="656" t="s">
        <v>1703</v>
      </c>
      <c r="C65" s="656"/>
      <c r="D65" s="656"/>
      <c r="E65" s="656"/>
      <c r="F65" s="656"/>
      <c r="G65" s="656"/>
      <c r="H65" s="243">
        <f>'Existing Loans'!C4</f>
        <v>0</v>
      </c>
    </row>
    <row r="66" spans="1:8">
      <c r="A66" s="655" t="s">
        <v>80</v>
      </c>
      <c r="B66" s="656" t="s">
        <v>205</v>
      </c>
      <c r="C66" s="656"/>
      <c r="D66" s="656"/>
      <c r="E66" s="656"/>
      <c r="F66" s="656"/>
      <c r="G66" s="656"/>
      <c r="H66" s="241">
        <f>'List of Equipments'!N33</f>
        <v>1</v>
      </c>
    </row>
    <row r="67" spans="1:8">
      <c r="A67" s="655"/>
      <c r="B67" s="656" t="s">
        <v>1701</v>
      </c>
      <c r="C67" s="656"/>
      <c r="D67" s="656"/>
      <c r="E67" s="656"/>
      <c r="F67" s="656"/>
      <c r="G67" s="656"/>
      <c r="H67" s="239" t="str">
        <f>'Existing Loans'!K2</f>
        <v>No</v>
      </c>
    </row>
    <row r="68" spans="1:8">
      <c r="A68" s="238"/>
      <c r="B68" s="661"/>
      <c r="C68" s="661"/>
      <c r="D68" s="661"/>
      <c r="E68" s="661"/>
      <c r="F68" s="240"/>
    </row>
    <row r="69" spans="1:8" hidden="1">
      <c r="A69" s="238"/>
      <c r="B69" s="661"/>
      <c r="C69" s="661"/>
      <c r="D69" s="661"/>
      <c r="E69" s="661"/>
      <c r="F69" s="240"/>
    </row>
    <row r="70" spans="1:8" hidden="1">
      <c r="A70" s="238"/>
      <c r="B70" s="661"/>
      <c r="C70" s="661"/>
      <c r="D70" s="661"/>
      <c r="E70" s="661"/>
      <c r="F70" s="240"/>
    </row>
    <row r="71" spans="1:8" hidden="1">
      <c r="A71" s="238"/>
      <c r="B71" s="661"/>
      <c r="C71" s="661"/>
      <c r="D71" s="661"/>
      <c r="E71" s="661"/>
      <c r="F71" s="240"/>
    </row>
    <row r="72" spans="1:8" hidden="1">
      <c r="A72" s="238"/>
      <c r="B72" s="661"/>
      <c r="C72" s="661"/>
      <c r="D72" s="661"/>
      <c r="E72" s="661"/>
      <c r="F72" s="240"/>
    </row>
    <row r="73" spans="1:8" hidden="1">
      <c r="A73" s="238"/>
      <c r="B73" s="661"/>
      <c r="C73" s="661"/>
      <c r="D73" s="661"/>
      <c r="E73" s="661"/>
      <c r="F73" s="240"/>
    </row>
    <row r="74" spans="1:8" hidden="1">
      <c r="A74" s="238"/>
      <c r="B74" s="661"/>
      <c r="C74" s="661"/>
      <c r="D74" s="661"/>
      <c r="E74" s="661"/>
      <c r="F74" s="240"/>
    </row>
    <row r="75" spans="1:8" hidden="1">
      <c r="A75" s="238"/>
      <c r="B75" s="661"/>
      <c r="C75" s="661"/>
      <c r="D75" s="661"/>
      <c r="E75" s="661"/>
      <c r="F75" s="240"/>
    </row>
    <row r="76" spans="1:8" hidden="1">
      <c r="A76" s="238"/>
      <c r="B76" s="661"/>
      <c r="C76" s="661"/>
      <c r="D76" s="661"/>
      <c r="E76" s="661"/>
      <c r="F76" s="240"/>
    </row>
    <row r="77" spans="1:8"/>
    <row r="78" spans="1:8"/>
    <row r="79" spans="1:8"/>
    <row r="80" spans="1:8"/>
  </sheetData>
  <sheetProtection algorithmName="SHA-512" hashValue="PXd3nUTfzh0hpeXnIY/DsJ9BclKoDTH4WKAi1U4Tu3A4H3Exl3sppE6C83XZI17G+ckHR2a2NYEopHsfQyJ0dw==" saltValue="OPzF83GG5D9i6tZlIivuMA==" spinCount="100000" sheet="1" objects="1" scenarios="1"/>
  <mergeCells count="101">
    <mergeCell ref="B76:E76"/>
    <mergeCell ref="B46:G46"/>
    <mergeCell ref="B47:G47"/>
    <mergeCell ref="B48:G48"/>
    <mergeCell ref="B49:G49"/>
    <mergeCell ref="B50:G50"/>
    <mergeCell ref="B51:G51"/>
    <mergeCell ref="B52:G52"/>
    <mergeCell ref="B53:G53"/>
    <mergeCell ref="B58:G58"/>
    <mergeCell ref="B62:G62"/>
    <mergeCell ref="B63:G63"/>
    <mergeCell ref="B74:E74"/>
    <mergeCell ref="B75:E75"/>
    <mergeCell ref="B69:E69"/>
    <mergeCell ref="B70:E70"/>
    <mergeCell ref="B60:G60"/>
    <mergeCell ref="B57:G57"/>
    <mergeCell ref="B71:E71"/>
    <mergeCell ref="B72:E72"/>
    <mergeCell ref="B73:E73"/>
    <mergeCell ref="B68:E68"/>
    <mergeCell ref="B64:G64"/>
    <mergeCell ref="B54:G54"/>
    <mergeCell ref="A66:A67"/>
    <mergeCell ref="B66:G66"/>
    <mergeCell ref="B67:G67"/>
    <mergeCell ref="B65:G65"/>
    <mergeCell ref="A62:A65"/>
    <mergeCell ref="B59:G59"/>
    <mergeCell ref="B61:G61"/>
    <mergeCell ref="A54:A61"/>
    <mergeCell ref="A35:E35"/>
    <mergeCell ref="A36:E36"/>
    <mergeCell ref="A37:E37"/>
    <mergeCell ref="A38:E38"/>
    <mergeCell ref="A39:E39"/>
    <mergeCell ref="A40:E40"/>
    <mergeCell ref="A45:H45"/>
    <mergeCell ref="A49:A53"/>
    <mergeCell ref="B55:G55"/>
    <mergeCell ref="B56:G56"/>
    <mergeCell ref="A42:E42"/>
    <mergeCell ref="A46:A48"/>
    <mergeCell ref="A26:E26"/>
    <mergeCell ref="A27:E27"/>
    <mergeCell ref="A29:E29"/>
    <mergeCell ref="A28:E28"/>
    <mergeCell ref="A21:E21"/>
    <mergeCell ref="A22:E22"/>
    <mergeCell ref="A34:E34"/>
    <mergeCell ref="A31:E31"/>
    <mergeCell ref="A32:E32"/>
    <mergeCell ref="A24:N24"/>
    <mergeCell ref="A25:E25"/>
    <mergeCell ref="A33:E33"/>
    <mergeCell ref="A16:E16"/>
    <mergeCell ref="A10:C10"/>
    <mergeCell ref="E10:H10"/>
    <mergeCell ref="E11:H11"/>
    <mergeCell ref="A11:C11"/>
    <mergeCell ref="L13:N13"/>
    <mergeCell ref="A13:E13"/>
    <mergeCell ref="A14:E14"/>
    <mergeCell ref="F13:H13"/>
    <mergeCell ref="I13:K13"/>
    <mergeCell ref="A15:E15"/>
    <mergeCell ref="M3:N3"/>
    <mergeCell ref="M6:N6"/>
    <mergeCell ref="E7:I7"/>
    <mergeCell ref="E8:I8"/>
    <mergeCell ref="E9:I9"/>
    <mergeCell ref="B7:C7"/>
    <mergeCell ref="B8:C8"/>
    <mergeCell ref="B9:C9"/>
    <mergeCell ref="D6:I6"/>
    <mergeCell ref="M4:N4"/>
    <mergeCell ref="A18:E18"/>
    <mergeCell ref="A17:E17"/>
    <mergeCell ref="A19:E19"/>
    <mergeCell ref="A20:E20"/>
    <mergeCell ref="A1:N1"/>
    <mergeCell ref="A23:E23"/>
    <mergeCell ref="A30:E30"/>
    <mergeCell ref="A41:E41"/>
    <mergeCell ref="J5:L5"/>
    <mergeCell ref="M5:N5"/>
    <mergeCell ref="J6:L6"/>
    <mergeCell ref="A2:C2"/>
    <mergeCell ref="A3:C3"/>
    <mergeCell ref="A4:C4"/>
    <mergeCell ref="A5:C5"/>
    <mergeCell ref="A6:C6"/>
    <mergeCell ref="D2:I2"/>
    <mergeCell ref="D3:I3"/>
    <mergeCell ref="D4:I4"/>
    <mergeCell ref="D5:I5"/>
    <mergeCell ref="J2:L2"/>
    <mergeCell ref="J3:L3"/>
    <mergeCell ref="J4:L4"/>
    <mergeCell ref="M2:N2"/>
  </mergeCells>
  <conditionalFormatting sqref="H46">
    <cfRule type="cellIs" dxfId="211" priority="62" operator="greaterThanOrEqual">
      <formula>3</formula>
    </cfRule>
    <cfRule type="cellIs" dxfId="210" priority="63" operator="lessThan">
      <formula>3</formula>
    </cfRule>
  </conditionalFormatting>
  <conditionalFormatting sqref="H47">
    <cfRule type="cellIs" dxfId="209" priority="60" operator="greaterThanOrEqual">
      <formula>3</formula>
    </cfRule>
    <cfRule type="cellIs" dxfId="208" priority="61" operator="lessThan">
      <formula>3</formula>
    </cfRule>
  </conditionalFormatting>
  <conditionalFormatting sqref="H48">
    <cfRule type="cellIs" dxfId="207" priority="58" operator="greaterThan">
      <formula>65</formula>
    </cfRule>
    <cfRule type="cellIs" dxfId="206" priority="59" operator="lessThanOrEqual">
      <formula>65</formula>
    </cfRule>
  </conditionalFormatting>
  <conditionalFormatting sqref="H49">
    <cfRule type="cellIs" dxfId="205" priority="54" operator="greaterThanOrEqual">
      <formula>690</formula>
    </cfRule>
    <cfRule type="cellIs" dxfId="204" priority="55" operator="lessThan">
      <formula>100</formula>
    </cfRule>
    <cfRule type="cellIs" dxfId="203" priority="56" operator="between">
      <formula>100</formula>
      <formula>690</formula>
    </cfRule>
  </conditionalFormatting>
  <conditionalFormatting sqref="H50">
    <cfRule type="containsText" dxfId="202" priority="51" operator="containsText" text="NA">
      <formula>NOT(ISERROR(SEARCH("NA",H50)))</formula>
    </cfRule>
    <cfRule type="cellIs" dxfId="201" priority="52" operator="greaterThanOrEqual">
      <formula>8</formula>
    </cfRule>
    <cfRule type="cellIs" dxfId="200" priority="53" operator="between">
      <formula>0</formula>
      <formula>7</formula>
    </cfRule>
  </conditionalFormatting>
  <conditionalFormatting sqref="H51">
    <cfRule type="containsText" dxfId="199" priority="49" operator="containsText" text="No">
      <formula>NOT(ISERROR(SEARCH("No",H51)))</formula>
    </cfRule>
    <cfRule type="containsText" dxfId="198" priority="50" operator="containsText" text="Yes">
      <formula>NOT(ISERROR(SEARCH("Yes",H51)))</formula>
    </cfRule>
  </conditionalFormatting>
  <conditionalFormatting sqref="H52">
    <cfRule type="expression" dxfId="197" priority="46">
      <formula>$H$52&lt;&gt;"STD"</formula>
    </cfRule>
    <cfRule type="containsText" dxfId="196" priority="48" operator="containsText" text="STD">
      <formula>NOT(ISERROR(SEARCH("STD",H52)))</formula>
    </cfRule>
  </conditionalFormatting>
  <conditionalFormatting sqref="H53">
    <cfRule type="expression" dxfId="195" priority="44">
      <formula>$H$53&lt;&gt;"Standard"</formula>
    </cfRule>
    <cfRule type="containsText" dxfId="194" priority="45" operator="containsText" text="Standard">
      <formula>NOT(ISERROR(SEARCH("Standard",H53)))</formula>
    </cfRule>
  </conditionalFormatting>
  <conditionalFormatting sqref="H54">
    <cfRule type="cellIs" dxfId="193" priority="42" operator="greaterThanOrEqual">
      <formula>0</formula>
    </cfRule>
    <cfRule type="cellIs" dxfId="192" priority="43" operator="lessThan">
      <formula>0</formula>
    </cfRule>
  </conditionalFormatting>
  <conditionalFormatting sqref="H56">
    <cfRule type="containsText" dxfId="191" priority="38" operator="containsText" text="No">
      <formula>NOT(ISERROR(SEARCH("No",H56)))</formula>
    </cfRule>
    <cfRule type="containsText" dxfId="190" priority="39" operator="containsText" text="Yes">
      <formula>NOT(ISERROR(SEARCH("Yes",H56)))</formula>
    </cfRule>
  </conditionalFormatting>
  <conditionalFormatting sqref="H57">
    <cfRule type="containsText" dxfId="189" priority="36" operator="containsText" text="No">
      <formula>NOT(ISERROR(SEARCH("No",H57)))</formula>
    </cfRule>
    <cfRule type="containsText" dxfId="188" priority="37" operator="containsText" text="Yes">
      <formula>NOT(ISERROR(SEARCH("Yes",H57)))</formula>
    </cfRule>
  </conditionalFormatting>
  <conditionalFormatting sqref="H55">
    <cfRule type="cellIs" dxfId="187" priority="34" operator="greaterThanOrEqual">
      <formula>0</formula>
    </cfRule>
    <cfRule type="cellIs" dxfId="186" priority="35" operator="lessThan">
      <formula>0</formula>
    </cfRule>
  </conditionalFormatting>
  <conditionalFormatting sqref="H66">
    <cfRule type="cellIs" dxfId="185" priority="17" operator="lessThanOrEqual">
      <formula>"&lt;=90"</formula>
    </cfRule>
    <cfRule type="cellIs" dxfId="184" priority="18" operator="greaterThan">
      <formula>"&gt;90"</formula>
    </cfRule>
  </conditionalFormatting>
  <conditionalFormatting sqref="H67">
    <cfRule type="containsText" dxfId="183" priority="15" operator="containsText" text="No">
      <formula>NOT(ISERROR(SEARCH("No",H67)))</formula>
    </cfRule>
    <cfRule type="containsText" dxfId="182" priority="16" operator="containsText" text="Yes">
      <formula>NOT(ISERROR(SEARCH("Yes",H67)))</formula>
    </cfRule>
  </conditionalFormatting>
  <conditionalFormatting sqref="H65">
    <cfRule type="cellIs" dxfId="181" priority="7" operator="greaterThan">
      <formula>2</formula>
    </cfRule>
    <cfRule type="cellIs" dxfId="180" priority="8" operator="lessThanOrEqual">
      <formula>2</formula>
    </cfRule>
  </conditionalFormatting>
  <dataValidations count="1">
    <dataValidation type="list" allowBlank="1" showInputMessage="1" showErrorMessage="1" sqref="D7:D11">
      <formula1>"Yes, No"</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78C0D931-6437-407d-A8EE-F0AAD7539E65}">
      <x14:conditionalFormattings>
        <x14:conditionalFormatting xmlns:xm="http://schemas.microsoft.com/office/excel/2006/main">
          <x14:cfRule type="expression" priority="29" id="{C2D42F49-117E-4F75-8EC8-87A3DAFFB8C9}">
            <xm:f>OR(AND(CAM!L8&gt;100,H59&gt;=1.2),AND(CAM!L8&lt;=100,H59&gt;=1.1))</xm:f>
            <x14:dxf>
              <fill>
                <patternFill>
                  <bgColor rgb="FF92D050"/>
                </patternFill>
              </fill>
            </x14:dxf>
          </x14:cfRule>
          <x14:cfRule type="expression" priority="31" id="{99F868D8-C019-46DD-A27F-E4705C374739}">
            <xm:f>OR(AND(CAM!L8&gt;100,H59&lt;1.2),AND(CAM!L8&lt;=100,H59&lt;1.1))</xm:f>
            <x14:dxf>
              <fill>
                <patternFill>
                  <bgColor rgb="FFFF0000"/>
                </patternFill>
              </fill>
            </x14:dxf>
          </x14:cfRule>
          <xm:sqref>H59</xm:sqref>
        </x14:conditionalFormatting>
        <x14:conditionalFormatting xmlns:xm="http://schemas.microsoft.com/office/excel/2006/main">
          <x14:cfRule type="expression" priority="26" id="{973C5DF9-614B-43B4-9187-C61627C159EE}">
            <xm:f>OR(AND(CAM!L8&gt;100,H61&gt;=1),AND(CAM!L8&lt;=100,H61&gt;=1))</xm:f>
            <x14:dxf>
              <fill>
                <patternFill>
                  <bgColor rgb="FF92D050"/>
                </patternFill>
              </fill>
            </x14:dxf>
          </x14:cfRule>
          <x14:cfRule type="expression" priority="28" id="{58B57F25-49F1-4DEE-A055-2BF35BC65976}">
            <xm:f>OR(AND(CAM!L8&gt;100,H61&lt;=1),AND(CAM!L8&lt;=100,H61&lt;=1))</xm:f>
            <x14:dxf>
              <fill>
                <patternFill>
                  <bgColor rgb="FFFF0000"/>
                </patternFill>
              </fill>
            </x14:dxf>
          </x14:cfRule>
          <xm:sqref>H61</xm:sqref>
        </x14:conditionalFormatting>
        <x14:conditionalFormatting xmlns:xm="http://schemas.microsoft.com/office/excel/2006/main">
          <x14:cfRule type="expression" priority="32" id="{1B78D4EB-386A-47CA-8D1C-2337CA7123A1}">
            <xm:f>OR(AND(CAM!L15&gt;100,G39&gt;3),AND(CAM!L15&lt;=100,G39&gt;3.5))</xm:f>
            <x14:dxf>
              <fill>
                <patternFill>
                  <bgColor rgb="FFFF0000"/>
                </patternFill>
              </fill>
            </x14:dxf>
          </x14:cfRule>
          <x14:cfRule type="expression" priority="33" id="{34987200-EA44-404D-9746-9BD18CEF79DE}">
            <xm:f>OR(AND(CAM!L15&gt;100,G39&lt;=3),AND(CAM!L15&lt;=100,G39&lt;=3.5))</xm:f>
            <x14:dxf>
              <fill>
                <patternFill>
                  <bgColor rgb="FF92D050"/>
                </patternFill>
              </fill>
            </x14:dxf>
          </x14:cfRule>
          <xm:sqref>H58</xm:sqref>
        </x14:conditionalFormatting>
        <x14:conditionalFormatting xmlns:xm="http://schemas.microsoft.com/office/excel/2006/main">
          <x14:cfRule type="expression" priority="24" id="{DC390087-7DFD-4B9B-A404-33928E40C886}">
            <xm:f>OR(AND(CAM!L8&gt;100,H62&lt;70%),AND(CAM!L8&lt;=100,H62&lt;60%))</xm:f>
            <x14:dxf>
              <fill>
                <patternFill>
                  <bgColor rgb="FFFF0000"/>
                </patternFill>
              </fill>
            </x14:dxf>
          </x14:cfRule>
          <x14:cfRule type="expression" priority="25" id="{C2F5F1C3-3837-4253-B010-D2DD13805B05}">
            <xm:f>OR(AND(CAM!L8&gt;100,H62&gt;=70%),AND(CAM!L8&lt;=100,H62&gt;=60%))</xm:f>
            <x14:dxf>
              <fill>
                <patternFill>
                  <bgColor rgb="FF92D050"/>
                </patternFill>
              </fill>
            </x14:dxf>
          </x14:cfRule>
          <xm:sqref>H62</xm:sqref>
        </x14:conditionalFormatting>
        <x14:conditionalFormatting xmlns:xm="http://schemas.microsoft.com/office/excel/2006/main">
          <x14:cfRule type="expression" priority="22" id="{7BF12ED9-122A-4D2C-A7E4-3B457D76330F}">
            <xm:f>OR(AND(CAM!L8&gt;100,H63&lt;1.2),AND(CAM!L8&lt;=100,H63&lt;1))</xm:f>
            <x14:dxf>
              <fill>
                <patternFill>
                  <bgColor rgb="FFFF0000"/>
                </patternFill>
              </fill>
            </x14:dxf>
          </x14:cfRule>
          <x14:cfRule type="expression" priority="23" id="{045FF2F4-2AC7-4AB7-B195-72EFB6AC8B3B}">
            <xm:f>OR(AND(CAM!L8&gt;100,H63&gt;=1.2),AND(CAM!L8&lt;=100,H63&gt;=1))</xm:f>
            <x14:dxf>
              <fill>
                <patternFill>
                  <bgColor rgb="FF92D050"/>
                </patternFill>
              </fill>
            </x14:dxf>
          </x14:cfRule>
          <xm:sqref>H63</xm:sqref>
        </x14:conditionalFormatting>
        <x14:conditionalFormatting xmlns:xm="http://schemas.microsoft.com/office/excel/2006/main">
          <x14:cfRule type="expression" priority="19" id="{35A8D2AE-BEC4-4EAD-BEAB-66107CE2CF4E}">
            <xm:f>OR(AND(CAM!L8&gt;100,H64&lt;=2%),AND(CAM!L8&lt;=100,H64&lt;=2%))</xm:f>
            <x14:dxf>
              <fill>
                <patternFill>
                  <bgColor rgb="FF92D050"/>
                </patternFill>
              </fill>
            </x14:dxf>
          </x14:cfRule>
          <x14:cfRule type="expression" priority="21" id="{922A01A2-1B4D-4929-BA77-8AD0246ABF91}">
            <xm:f>OR(AND(CAM!L8&gt;100,H64&gt;2%),AND(CAM!L8&lt;=100,H64&gt;2%))</xm:f>
            <x14:dxf>
              <fill>
                <patternFill>
                  <bgColor rgb="FFFF0000"/>
                </patternFill>
              </fill>
            </x14:dxf>
          </x14:cfRule>
          <xm:sqref>H64</xm:sqref>
        </x14:conditionalFormatting>
        <x14:conditionalFormatting xmlns:xm="http://schemas.microsoft.com/office/excel/2006/main">
          <x14:cfRule type="expression" priority="1" id="{AE71E57B-0CE1-45FD-BA45-5104F2CA1102}">
            <xm:f>OR(AND(CAM!L7&gt;100,H60&gt;=1),AND(CAM!L7&lt;=100,H60&gt;=0.9))</xm:f>
            <x14:dxf>
              <fill>
                <patternFill>
                  <bgColor rgb="FF92D050"/>
                </patternFill>
              </fill>
            </x14:dxf>
          </x14:cfRule>
          <x14:cfRule type="expression" priority="2" id="{8BD8376E-2A7B-400C-A102-5BB331BA6D44}">
            <xm:f>OR(AND(CAM!L7&gt;100,H60&lt;1),AND(CAM!L7&lt;=100,H60&lt;0.9))</xm:f>
            <x14:dxf>
              <fill>
                <patternFill>
                  <bgColor rgb="FFFF0000"/>
                </patternFill>
              </fill>
            </x14:dxf>
          </x14:cfRule>
          <xm:sqref>H60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5" zoomScaleNormal="85" workbookViewId="0">
      <selection activeCell="A7" sqref="A7"/>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10" ht="21">
      <c r="A1" s="666" t="s">
        <v>18</v>
      </c>
      <c r="B1" s="667"/>
      <c r="C1" s="667"/>
      <c r="D1" s="667"/>
      <c r="E1" s="667"/>
      <c r="F1" s="667"/>
      <c r="G1" s="667"/>
      <c r="H1" s="667"/>
      <c r="I1" s="667"/>
    </row>
    <row r="2" spans="1:10" s="3" customFormat="1" ht="21">
      <c r="A2" s="2" t="s">
        <v>19</v>
      </c>
      <c r="B2" s="668" t="s">
        <v>1850</v>
      </c>
      <c r="C2" s="669"/>
      <c r="D2" s="669"/>
      <c r="E2" s="669"/>
      <c r="F2" s="669"/>
      <c r="G2" s="669"/>
      <c r="H2" s="669"/>
      <c r="I2" s="669"/>
    </row>
    <row r="3" spans="1:10">
      <c r="A3" s="4" t="s">
        <v>20</v>
      </c>
      <c r="B3" s="302" t="s">
        <v>1403</v>
      </c>
      <c r="C3" s="302" t="s">
        <v>1403</v>
      </c>
      <c r="D3" s="302" t="s">
        <v>1836</v>
      </c>
      <c r="E3" s="302" t="s">
        <v>1818</v>
      </c>
      <c r="G3" s="670" t="s">
        <v>21</v>
      </c>
      <c r="H3" s="670"/>
      <c r="I3" s="670"/>
    </row>
    <row r="4" spans="1:10">
      <c r="A4" s="212" t="s">
        <v>22</v>
      </c>
      <c r="B4" s="5">
        <f>DATE(YEAR(C4)-1,MONTH(C4),DAY(C4))</f>
        <v>43555</v>
      </c>
      <c r="C4" s="5">
        <f>DATE(YEAR(D4)-1,MONTH(D4),DAY(D4))</f>
        <v>43921</v>
      </c>
      <c r="D4" s="6">
        <v>44286</v>
      </c>
      <c r="E4" s="211">
        <f>DATE(YEAR(D4)+1,MONTH(D4),DAY(D4))</f>
        <v>44651</v>
      </c>
      <c r="G4" s="7">
        <f>C4</f>
        <v>43921</v>
      </c>
      <c r="H4" s="7">
        <f>D4</f>
        <v>44286</v>
      </c>
      <c r="I4" s="7">
        <f>E4</f>
        <v>44651</v>
      </c>
    </row>
    <row r="5" spans="1:10">
      <c r="A5" s="213" t="s">
        <v>23</v>
      </c>
      <c r="B5" s="336"/>
      <c r="C5" s="336">
        <v>0</v>
      </c>
      <c r="D5" s="336">
        <v>0</v>
      </c>
      <c r="E5" s="214"/>
      <c r="G5" s="8" t="str">
        <f t="shared" ref="G5:G44" si="0">IF(OR(B5=0,C5=0),"",(C5-B5)/B5)</f>
        <v/>
      </c>
      <c r="H5" s="8" t="str">
        <f t="shared" ref="H5:H44" si="1">IF(OR(C5=0,D5=0),"",(D5-C5)/C5)</f>
        <v/>
      </c>
      <c r="I5" s="8" t="str">
        <f t="shared" ref="I5:I44" si="2">IF(OR(D5=0,E5=0),"",(E5-D5)/D5)</f>
        <v/>
      </c>
      <c r="J5" s="470"/>
    </row>
    <row r="6" spans="1:10">
      <c r="A6" s="213" t="s">
        <v>24</v>
      </c>
      <c r="B6" s="214"/>
      <c r="C6" s="214"/>
      <c r="D6" s="214"/>
      <c r="E6" s="214"/>
      <c r="G6" s="8" t="str">
        <f t="shared" si="0"/>
        <v/>
      </c>
      <c r="H6" s="8" t="str">
        <f t="shared" si="1"/>
        <v/>
      </c>
      <c r="I6" s="8" t="str">
        <f t="shared" si="2"/>
        <v/>
      </c>
    </row>
    <row r="7" spans="1:10">
      <c r="A7" s="213" t="s">
        <v>25</v>
      </c>
      <c r="B7" s="214"/>
      <c r="C7" s="214">
        <v>0</v>
      </c>
      <c r="D7" s="214">
        <v>0</v>
      </c>
      <c r="E7" s="214"/>
      <c r="G7" s="8" t="str">
        <f t="shared" si="0"/>
        <v/>
      </c>
      <c r="H7" s="8" t="str">
        <f t="shared" si="1"/>
        <v/>
      </c>
      <c r="I7" s="8" t="str">
        <f t="shared" si="2"/>
        <v/>
      </c>
    </row>
    <row r="8" spans="1:10">
      <c r="A8" s="215" t="s">
        <v>26</v>
      </c>
      <c r="B8" s="216">
        <f>SUM(B5:B7)</f>
        <v>0</v>
      </c>
      <c r="C8" s="216">
        <f>SUM(C5:C7)</f>
        <v>0</v>
      </c>
      <c r="D8" s="216">
        <f>SUM(D5:D7)</f>
        <v>0</v>
      </c>
      <c r="E8" s="216">
        <f>SUM(E5:E7)</f>
        <v>0</v>
      </c>
      <c r="G8" s="8" t="str">
        <f t="shared" si="0"/>
        <v/>
      </c>
      <c r="H8" s="8" t="str">
        <f t="shared" si="1"/>
        <v/>
      </c>
      <c r="I8" s="8" t="str">
        <f t="shared" si="2"/>
        <v/>
      </c>
    </row>
    <row r="9" spans="1:10">
      <c r="A9" s="215" t="s">
        <v>1630</v>
      </c>
      <c r="B9" s="216">
        <f>B10+B11+B12-B13+B14+B15</f>
        <v>0</v>
      </c>
      <c r="C9" s="216">
        <f>C10+C11+C12-C13+C14+C15</f>
        <v>0</v>
      </c>
      <c r="D9" s="216">
        <f>D10+D11+D12-D13+D14+D15</f>
        <v>0</v>
      </c>
      <c r="E9" s="216">
        <f>E10+E11+E12-E13+E14+E15</f>
        <v>0</v>
      </c>
      <c r="G9" s="8" t="str">
        <f t="shared" si="0"/>
        <v/>
      </c>
      <c r="H9" s="8" t="str">
        <f t="shared" si="1"/>
        <v/>
      </c>
      <c r="I9" s="8" t="str">
        <f t="shared" si="2"/>
        <v/>
      </c>
    </row>
    <row r="10" spans="1:10">
      <c r="A10" s="213" t="s">
        <v>27</v>
      </c>
      <c r="B10" s="214"/>
      <c r="C10" s="214"/>
      <c r="D10" s="214"/>
      <c r="E10" s="214"/>
      <c r="G10" s="8" t="str">
        <f t="shared" si="0"/>
        <v/>
      </c>
      <c r="H10" s="8" t="str">
        <f t="shared" si="1"/>
        <v/>
      </c>
      <c r="I10" s="8" t="str">
        <f t="shared" si="2"/>
        <v/>
      </c>
    </row>
    <row r="11" spans="1:10">
      <c r="A11" s="213" t="s">
        <v>28</v>
      </c>
      <c r="B11" s="336"/>
      <c r="C11" s="336"/>
      <c r="D11" s="336"/>
      <c r="E11" s="214"/>
      <c r="G11" s="8" t="str">
        <f t="shared" si="0"/>
        <v/>
      </c>
      <c r="H11" s="8" t="str">
        <f t="shared" si="1"/>
        <v/>
      </c>
      <c r="I11" s="8" t="str">
        <f t="shared" si="2"/>
        <v/>
      </c>
    </row>
    <row r="12" spans="1:10">
      <c r="A12" s="213" t="s">
        <v>1631</v>
      </c>
      <c r="B12" s="336"/>
      <c r="C12" s="336"/>
      <c r="D12" s="336"/>
      <c r="E12" s="214"/>
      <c r="G12" s="8" t="str">
        <f t="shared" si="0"/>
        <v/>
      </c>
      <c r="H12" s="8" t="str">
        <f t="shared" si="1"/>
        <v/>
      </c>
      <c r="I12" s="8" t="str">
        <f t="shared" si="2"/>
        <v/>
      </c>
    </row>
    <row r="13" spans="1:10">
      <c r="A13" s="213" t="s">
        <v>29</v>
      </c>
      <c r="B13" s="214"/>
      <c r="C13" s="214"/>
      <c r="D13" s="214"/>
      <c r="E13" s="214"/>
      <c r="G13" s="8" t="str">
        <f t="shared" si="0"/>
        <v/>
      </c>
      <c r="H13" s="8" t="str">
        <f t="shared" si="1"/>
        <v/>
      </c>
      <c r="I13" s="8" t="str">
        <f t="shared" si="2"/>
        <v/>
      </c>
    </row>
    <row r="14" spans="1:10">
      <c r="A14" s="213" t="s">
        <v>1632</v>
      </c>
      <c r="B14" s="214"/>
      <c r="C14" s="214"/>
      <c r="D14" s="214"/>
      <c r="E14" s="214"/>
      <c r="G14" s="8" t="str">
        <f t="shared" si="0"/>
        <v/>
      </c>
      <c r="H14" s="8" t="str">
        <f t="shared" si="1"/>
        <v/>
      </c>
      <c r="I14" s="8" t="str">
        <f t="shared" si="2"/>
        <v/>
      </c>
    </row>
    <row r="15" spans="1:10">
      <c r="A15" s="213" t="s">
        <v>30</v>
      </c>
      <c r="B15" s="214"/>
      <c r="C15" s="214"/>
      <c r="D15" s="214"/>
      <c r="E15" s="214"/>
      <c r="G15" s="8" t="str">
        <f t="shared" si="0"/>
        <v/>
      </c>
      <c r="H15" s="8" t="str">
        <f t="shared" si="1"/>
        <v/>
      </c>
      <c r="I15" s="8" t="str">
        <f t="shared" si="2"/>
        <v/>
      </c>
    </row>
    <row r="16" spans="1:10">
      <c r="A16" s="215" t="s">
        <v>31</v>
      </c>
      <c r="B16" s="216">
        <f t="shared" ref="B16:E16" si="3">B8-B9</f>
        <v>0</v>
      </c>
      <c r="C16" s="216">
        <f t="shared" si="3"/>
        <v>0</v>
      </c>
      <c r="D16" s="217">
        <f t="shared" si="3"/>
        <v>0</v>
      </c>
      <c r="E16" s="216">
        <f t="shared" si="3"/>
        <v>0</v>
      </c>
      <c r="G16" s="8" t="str">
        <f t="shared" si="0"/>
        <v/>
      </c>
      <c r="H16" s="8" t="str">
        <f t="shared" si="1"/>
        <v/>
      </c>
      <c r="I16" s="8" t="str">
        <f t="shared" si="2"/>
        <v/>
      </c>
    </row>
    <row r="17" spans="1:9">
      <c r="A17" s="215" t="s">
        <v>1677</v>
      </c>
      <c r="B17" s="216">
        <f>B8-B9-B7</f>
        <v>0</v>
      </c>
      <c r="C17" s="216">
        <f t="shared" ref="C17:E17" si="4">C8-C9-C7</f>
        <v>0</v>
      </c>
      <c r="D17" s="216">
        <f t="shared" si="4"/>
        <v>0</v>
      </c>
      <c r="E17" s="216">
        <f t="shared" si="4"/>
        <v>0</v>
      </c>
      <c r="G17" s="8" t="str">
        <f t="shared" si="0"/>
        <v/>
      </c>
      <c r="H17" s="8" t="str">
        <f t="shared" si="1"/>
        <v/>
      </c>
      <c r="I17" s="8" t="str">
        <f t="shared" si="2"/>
        <v/>
      </c>
    </row>
    <row r="18" spans="1:9">
      <c r="A18" s="213" t="s">
        <v>32</v>
      </c>
      <c r="B18" s="336">
        <v>0</v>
      </c>
      <c r="C18" s="336">
        <v>0</v>
      </c>
      <c r="D18" s="336">
        <v>0</v>
      </c>
      <c r="E18" s="214"/>
      <c r="G18" s="8" t="str">
        <f t="shared" si="0"/>
        <v/>
      </c>
      <c r="H18" s="8" t="str">
        <f t="shared" si="1"/>
        <v/>
      </c>
      <c r="I18" s="8" t="str">
        <f t="shared" si="2"/>
        <v/>
      </c>
    </row>
    <row r="19" spans="1:9">
      <c r="A19" s="213" t="s">
        <v>33</v>
      </c>
      <c r="B19" s="336"/>
      <c r="C19" s="336"/>
      <c r="D19" s="336"/>
      <c r="E19" s="214"/>
      <c r="G19" s="8" t="str">
        <f t="shared" si="0"/>
        <v/>
      </c>
      <c r="H19" s="8" t="str">
        <f t="shared" si="1"/>
        <v/>
      </c>
      <c r="I19" s="8" t="str">
        <f t="shared" si="2"/>
        <v/>
      </c>
    </row>
    <row r="20" spans="1:9">
      <c r="A20" s="213" t="s">
        <v>34</v>
      </c>
      <c r="B20" s="336"/>
      <c r="C20" s="336"/>
      <c r="D20" s="336"/>
      <c r="E20" s="214"/>
      <c r="G20" s="8" t="str">
        <f t="shared" si="0"/>
        <v/>
      </c>
      <c r="H20" s="8" t="str">
        <f t="shared" si="1"/>
        <v/>
      </c>
      <c r="I20" s="8" t="str">
        <f t="shared" si="2"/>
        <v/>
      </c>
    </row>
    <row r="21" spans="1:9">
      <c r="A21" s="213" t="s">
        <v>1633</v>
      </c>
      <c r="B21" s="336"/>
      <c r="C21" s="336"/>
      <c r="D21" s="336"/>
      <c r="E21" s="214"/>
      <c r="G21" s="8" t="str">
        <f t="shared" si="0"/>
        <v/>
      </c>
      <c r="H21" s="8" t="str">
        <f t="shared" si="1"/>
        <v/>
      </c>
      <c r="I21" s="8" t="str">
        <f t="shared" si="2"/>
        <v/>
      </c>
    </row>
    <row r="22" spans="1:9">
      <c r="A22" s="213" t="s">
        <v>1634</v>
      </c>
      <c r="B22" s="336"/>
      <c r="C22" s="336"/>
      <c r="D22" s="336"/>
      <c r="E22" s="214"/>
      <c r="G22" s="8" t="str">
        <f t="shared" si="0"/>
        <v/>
      </c>
      <c r="H22" s="8" t="str">
        <f t="shared" si="1"/>
        <v/>
      </c>
      <c r="I22" s="8" t="str">
        <f t="shared" si="2"/>
        <v/>
      </c>
    </row>
    <row r="23" spans="1:9">
      <c r="A23" s="215" t="s">
        <v>1635</v>
      </c>
      <c r="B23" s="216">
        <f>B17-SUM(B18:B22)</f>
        <v>0</v>
      </c>
      <c r="C23" s="216">
        <f>C17-SUM(C18:C22)</f>
        <v>0</v>
      </c>
      <c r="D23" s="217">
        <f>D17-SUM(D18:D22)</f>
        <v>0</v>
      </c>
      <c r="E23" s="216">
        <f>E17-SUM(E18:E22)</f>
        <v>0</v>
      </c>
      <c r="G23" s="8" t="str">
        <f t="shared" si="0"/>
        <v/>
      </c>
      <c r="H23" s="8" t="str">
        <f t="shared" si="1"/>
        <v/>
      </c>
      <c r="I23" s="8" t="str">
        <f t="shared" si="2"/>
        <v/>
      </c>
    </row>
    <row r="24" spans="1:9">
      <c r="A24" s="215" t="s">
        <v>1636</v>
      </c>
      <c r="B24" s="216">
        <f>SUM(B25:B28)</f>
        <v>0</v>
      </c>
      <c r="C24" s="216">
        <f>SUM(C25:C28)</f>
        <v>0</v>
      </c>
      <c r="D24" s="217">
        <f>SUM(D25:D28)</f>
        <v>0</v>
      </c>
      <c r="E24" s="216">
        <f>SUM(E25:E28)</f>
        <v>0</v>
      </c>
      <c r="G24" s="8" t="str">
        <f t="shared" si="0"/>
        <v/>
      </c>
      <c r="H24" s="8" t="str">
        <f t="shared" si="1"/>
        <v/>
      </c>
      <c r="I24" s="8" t="str">
        <f t="shared" si="2"/>
        <v/>
      </c>
    </row>
    <row r="25" spans="1:9">
      <c r="A25" s="213" t="s">
        <v>36</v>
      </c>
      <c r="B25" s="336"/>
      <c r="C25" s="336"/>
      <c r="D25" s="336"/>
      <c r="E25" s="214"/>
      <c r="G25" s="8" t="str">
        <f t="shared" si="0"/>
        <v/>
      </c>
      <c r="H25" s="8" t="str">
        <f t="shared" si="1"/>
        <v/>
      </c>
      <c r="I25" s="8" t="str">
        <f t="shared" si="2"/>
        <v/>
      </c>
    </row>
    <row r="26" spans="1:9">
      <c r="A26" s="213" t="s">
        <v>37</v>
      </c>
      <c r="B26" s="336"/>
      <c r="C26" s="336"/>
      <c r="D26" s="336"/>
      <c r="E26" s="214"/>
      <c r="G26" s="8" t="str">
        <f t="shared" si="0"/>
        <v/>
      </c>
      <c r="H26" s="8" t="str">
        <f t="shared" si="1"/>
        <v/>
      </c>
      <c r="I26" s="8" t="str">
        <f t="shared" si="2"/>
        <v/>
      </c>
    </row>
    <row r="27" spans="1:9">
      <c r="A27" s="213" t="s">
        <v>38</v>
      </c>
      <c r="B27" s="336"/>
      <c r="C27" s="336"/>
      <c r="D27" s="336"/>
      <c r="E27" s="214"/>
      <c r="G27" s="8" t="str">
        <f t="shared" si="0"/>
        <v/>
      </c>
      <c r="H27" s="8" t="str">
        <f t="shared" si="1"/>
        <v/>
      </c>
      <c r="I27" s="8" t="str">
        <f t="shared" si="2"/>
        <v/>
      </c>
    </row>
    <row r="28" spans="1:9">
      <c r="A28" s="213" t="s">
        <v>35</v>
      </c>
      <c r="B28" s="336"/>
      <c r="C28" s="336"/>
      <c r="D28" s="336"/>
      <c r="E28" s="214"/>
      <c r="G28" s="8" t="str">
        <f t="shared" si="0"/>
        <v/>
      </c>
      <c r="H28" s="8" t="str">
        <f t="shared" si="1"/>
        <v/>
      </c>
      <c r="I28" s="8" t="str">
        <f t="shared" si="2"/>
        <v/>
      </c>
    </row>
    <row r="29" spans="1:9">
      <c r="A29" s="215" t="s">
        <v>1637</v>
      </c>
      <c r="B29" s="216">
        <f>B23-B28</f>
        <v>0</v>
      </c>
      <c r="C29" s="216">
        <f>C23-C28</f>
        <v>0</v>
      </c>
      <c r="D29" s="217">
        <f>D23-D28</f>
        <v>0</v>
      </c>
      <c r="E29" s="216">
        <f>E23-E28</f>
        <v>0</v>
      </c>
      <c r="G29" s="8" t="str">
        <f t="shared" si="0"/>
        <v/>
      </c>
      <c r="H29" s="8" t="str">
        <f t="shared" si="1"/>
        <v/>
      </c>
      <c r="I29" s="8" t="str">
        <f t="shared" si="2"/>
        <v/>
      </c>
    </row>
    <row r="30" spans="1:9">
      <c r="A30" s="215" t="s">
        <v>1638</v>
      </c>
      <c r="B30" s="216">
        <f>B29-B25</f>
        <v>0</v>
      </c>
      <c r="C30" s="216">
        <f>C29-C25</f>
        <v>0</v>
      </c>
      <c r="D30" s="217">
        <f>D29-D25</f>
        <v>0</v>
      </c>
      <c r="E30" s="216">
        <f>E29-E25</f>
        <v>0</v>
      </c>
      <c r="G30" s="8" t="str">
        <f t="shared" si="0"/>
        <v/>
      </c>
      <c r="H30" s="8" t="str">
        <f t="shared" si="1"/>
        <v/>
      </c>
      <c r="I30" s="8" t="str">
        <f t="shared" si="2"/>
        <v/>
      </c>
    </row>
    <row r="31" spans="1:9">
      <c r="A31" s="213" t="s">
        <v>39</v>
      </c>
      <c r="B31" s="336"/>
      <c r="C31" s="336">
        <v>0</v>
      </c>
      <c r="D31" s="336">
        <v>0</v>
      </c>
      <c r="E31" s="214"/>
      <c r="G31" s="8" t="str">
        <f t="shared" si="0"/>
        <v/>
      </c>
      <c r="H31" s="8" t="str">
        <f t="shared" si="1"/>
        <v/>
      </c>
      <c r="I31" s="8" t="str">
        <f t="shared" si="2"/>
        <v/>
      </c>
    </row>
    <row r="32" spans="1:9">
      <c r="A32" s="213" t="s">
        <v>40</v>
      </c>
      <c r="B32" s="336"/>
      <c r="C32" s="336"/>
      <c r="D32" s="336"/>
      <c r="E32" s="214"/>
      <c r="G32" s="8" t="str">
        <f t="shared" si="0"/>
        <v/>
      </c>
      <c r="H32" s="8" t="str">
        <f t="shared" si="1"/>
        <v/>
      </c>
      <c r="I32" s="8" t="str">
        <f t="shared" si="2"/>
        <v/>
      </c>
    </row>
    <row r="33" spans="1:9">
      <c r="A33" s="213" t="s">
        <v>41</v>
      </c>
      <c r="B33" s="336"/>
      <c r="C33" s="336"/>
      <c r="D33" s="336"/>
      <c r="E33" s="214"/>
      <c r="G33" s="8" t="str">
        <f t="shared" si="0"/>
        <v/>
      </c>
      <c r="H33" s="8" t="str">
        <f t="shared" si="1"/>
        <v/>
      </c>
      <c r="I33" s="8" t="str">
        <f t="shared" si="2"/>
        <v/>
      </c>
    </row>
    <row r="34" spans="1:9">
      <c r="A34" s="213" t="s">
        <v>42</v>
      </c>
      <c r="B34" s="336"/>
      <c r="C34" s="336"/>
      <c r="D34" s="336"/>
      <c r="E34" s="214"/>
      <c r="G34" s="8" t="str">
        <f t="shared" si="0"/>
        <v/>
      </c>
      <c r="H34" s="8" t="str">
        <f t="shared" si="1"/>
        <v/>
      </c>
      <c r="I34" s="8" t="str">
        <f t="shared" si="2"/>
        <v/>
      </c>
    </row>
    <row r="35" spans="1:9">
      <c r="A35" s="213" t="s">
        <v>43</v>
      </c>
      <c r="B35" s="336"/>
      <c r="C35" s="336"/>
      <c r="D35" s="336"/>
      <c r="E35" s="214"/>
      <c r="G35" s="8" t="str">
        <f t="shared" si="0"/>
        <v/>
      </c>
      <c r="H35" s="8" t="str">
        <f t="shared" si="1"/>
        <v/>
      </c>
      <c r="I35" s="8" t="str">
        <f t="shared" si="2"/>
        <v/>
      </c>
    </row>
    <row r="36" spans="1:9">
      <c r="A36" s="215" t="s">
        <v>44</v>
      </c>
      <c r="B36" s="216">
        <f>B23-B24-SUM(B31:B35)+B7</f>
        <v>0</v>
      </c>
      <c r="C36" s="216">
        <f>C23-C24-SUM(C31:C35)+C7</f>
        <v>0</v>
      </c>
      <c r="D36" s="217">
        <f>D23-D24-SUM(D31:D35)+D7</f>
        <v>0</v>
      </c>
      <c r="E36" s="216">
        <f>E23-E24-SUM(E31:E35)+E7</f>
        <v>0</v>
      </c>
      <c r="G36" s="8" t="str">
        <f t="shared" si="0"/>
        <v/>
      </c>
      <c r="H36" s="8" t="str">
        <f t="shared" si="1"/>
        <v/>
      </c>
      <c r="I36" s="8" t="str">
        <f t="shared" si="2"/>
        <v/>
      </c>
    </row>
    <row r="37" spans="1:9">
      <c r="A37" s="215" t="s">
        <v>45</v>
      </c>
      <c r="B37" s="216">
        <f>B36-B7</f>
        <v>0</v>
      </c>
      <c r="C37" s="216">
        <f>C36-C7</f>
        <v>0</v>
      </c>
      <c r="D37" s="217">
        <f>D36-D7</f>
        <v>0</v>
      </c>
      <c r="E37" s="216">
        <f>E36-E7</f>
        <v>0</v>
      </c>
      <c r="G37" s="8" t="str">
        <f t="shared" si="0"/>
        <v/>
      </c>
      <c r="H37" s="8" t="str">
        <f t="shared" si="1"/>
        <v/>
      </c>
      <c r="I37" s="8" t="str">
        <f t="shared" si="2"/>
        <v/>
      </c>
    </row>
    <row r="38" spans="1:9">
      <c r="A38" s="213" t="s">
        <v>46</v>
      </c>
      <c r="B38" s="214"/>
      <c r="C38" s="214"/>
      <c r="D38" s="214"/>
      <c r="E38" s="214"/>
      <c r="G38" s="8" t="str">
        <f t="shared" si="0"/>
        <v/>
      </c>
      <c r="H38" s="8" t="str">
        <f t="shared" si="1"/>
        <v/>
      </c>
      <c r="I38" s="8" t="str">
        <f t="shared" si="2"/>
        <v/>
      </c>
    </row>
    <row r="39" spans="1:9">
      <c r="A39" s="215" t="s">
        <v>47</v>
      </c>
      <c r="B39" s="216">
        <f>B36-B38</f>
        <v>0</v>
      </c>
      <c r="C39" s="216">
        <f>C36-C38</f>
        <v>0</v>
      </c>
      <c r="D39" s="217">
        <f>D36-D38</f>
        <v>0</v>
      </c>
      <c r="E39" s="216">
        <f>E36-E38</f>
        <v>0</v>
      </c>
      <c r="G39" s="8" t="str">
        <f t="shared" si="0"/>
        <v/>
      </c>
      <c r="H39" s="8" t="str">
        <f t="shared" si="1"/>
        <v/>
      </c>
      <c r="I39" s="8" t="str">
        <f t="shared" si="2"/>
        <v/>
      </c>
    </row>
    <row r="40" spans="1:9">
      <c r="A40" s="215" t="s">
        <v>48</v>
      </c>
      <c r="B40" s="216">
        <f>B37-B38</f>
        <v>0</v>
      </c>
      <c r="C40" s="216">
        <f>C37-C38</f>
        <v>0</v>
      </c>
      <c r="D40" s="217">
        <f>D37-D38</f>
        <v>0</v>
      </c>
      <c r="E40" s="216">
        <f>E37-E38</f>
        <v>0</v>
      </c>
      <c r="G40" s="8" t="str">
        <f t="shared" si="0"/>
        <v/>
      </c>
      <c r="H40" s="8" t="str">
        <f t="shared" si="1"/>
        <v/>
      </c>
      <c r="I40" s="8" t="str">
        <f t="shared" si="2"/>
        <v/>
      </c>
    </row>
    <row r="41" spans="1:9">
      <c r="A41" s="215" t="s">
        <v>49</v>
      </c>
      <c r="B41" s="216">
        <f>B40+B31+B33</f>
        <v>0</v>
      </c>
      <c r="C41" s="216">
        <f>C40+C31+C33</f>
        <v>0</v>
      </c>
      <c r="D41" s="217">
        <f>D40+D31+D33</f>
        <v>0</v>
      </c>
      <c r="E41" s="216">
        <f>E40+E31+E33</f>
        <v>0</v>
      </c>
      <c r="G41" s="8" t="str">
        <f t="shared" si="0"/>
        <v/>
      </c>
      <c r="H41" s="8" t="str">
        <f t="shared" si="1"/>
        <v/>
      </c>
      <c r="I41" s="8" t="str">
        <f t="shared" si="2"/>
        <v/>
      </c>
    </row>
    <row r="42" spans="1:9">
      <c r="A42" s="215" t="s">
        <v>50</v>
      </c>
      <c r="B42" s="216">
        <f>B41+B34+B35</f>
        <v>0</v>
      </c>
      <c r="C42" s="216">
        <f>C41+C34+C35</f>
        <v>0</v>
      </c>
      <c r="D42" s="217">
        <f>D41+D34+D35</f>
        <v>0</v>
      </c>
      <c r="E42" s="216">
        <f>E41+E34+E35</f>
        <v>0</v>
      </c>
      <c r="G42" s="8" t="str">
        <f t="shared" si="0"/>
        <v/>
      </c>
      <c r="H42" s="8" t="str">
        <f t="shared" si="1"/>
        <v/>
      </c>
      <c r="I42" s="8" t="str">
        <f t="shared" si="2"/>
        <v/>
      </c>
    </row>
    <row r="43" spans="1:9">
      <c r="A43" s="213" t="s">
        <v>1639</v>
      </c>
      <c r="B43" s="214"/>
      <c r="C43" s="214"/>
      <c r="D43" s="214"/>
      <c r="E43" s="214"/>
      <c r="G43" s="8" t="str">
        <f t="shared" si="0"/>
        <v/>
      </c>
      <c r="H43" s="8" t="str">
        <f t="shared" si="1"/>
        <v/>
      </c>
      <c r="I43" s="8" t="str">
        <f t="shared" si="2"/>
        <v/>
      </c>
    </row>
    <row r="44" spans="1:9">
      <c r="A44" s="215" t="s">
        <v>1640</v>
      </c>
      <c r="B44" s="216">
        <f>B39-B43</f>
        <v>0</v>
      </c>
      <c r="C44" s="216">
        <f>C39-C43</f>
        <v>0</v>
      </c>
      <c r="D44" s="217">
        <f>D39-D43</f>
        <v>0</v>
      </c>
      <c r="E44" s="216">
        <f>E39-E43</f>
        <v>0</v>
      </c>
      <c r="G44" s="8" t="str">
        <f t="shared" si="0"/>
        <v/>
      </c>
      <c r="H44" s="8" t="str">
        <f t="shared" si="1"/>
        <v/>
      </c>
      <c r="I44" s="8" t="str">
        <f t="shared" si="2"/>
        <v/>
      </c>
    </row>
    <row r="45" spans="1:9">
      <c r="A45" s="203"/>
      <c r="B45" s="204"/>
      <c r="C45" s="204"/>
      <c r="D45" s="205"/>
      <c r="E45" s="205"/>
      <c r="G45" s="9"/>
      <c r="H45" s="9"/>
      <c r="I45" s="9"/>
    </row>
    <row r="46" spans="1:9">
      <c r="A46" s="212" t="s">
        <v>51</v>
      </c>
      <c r="B46" s="218" t="str">
        <f>B3</f>
        <v>Audited and Filed</v>
      </c>
      <c r="C46" s="218" t="str">
        <f t="shared" ref="C46:E46" si="5">C3</f>
        <v>Audited and Filed</v>
      </c>
      <c r="D46" s="218" t="str">
        <f t="shared" si="5"/>
        <v>Audited and Not Filed</v>
      </c>
      <c r="E46" s="218" t="str">
        <f t="shared" si="5"/>
        <v>Provisional</v>
      </c>
      <c r="G46" s="670" t="s">
        <v>21</v>
      </c>
      <c r="H46" s="670"/>
      <c r="I46" s="670"/>
    </row>
    <row r="47" spans="1:9">
      <c r="A47" s="212" t="s">
        <v>52</v>
      </c>
      <c r="B47" s="211">
        <f>B4</f>
        <v>43555</v>
      </c>
      <c r="C47" s="211">
        <f t="shared" ref="C47:E47" si="6">C4</f>
        <v>43921</v>
      </c>
      <c r="D47" s="211">
        <f t="shared" si="6"/>
        <v>44286</v>
      </c>
      <c r="E47" s="211">
        <f t="shared" si="6"/>
        <v>44651</v>
      </c>
      <c r="G47" s="7">
        <f>G4</f>
        <v>43921</v>
      </c>
      <c r="H47" s="7">
        <f t="shared" ref="H47:I47" si="7">H4</f>
        <v>44286</v>
      </c>
      <c r="I47" s="7">
        <f t="shared" si="7"/>
        <v>44651</v>
      </c>
    </row>
    <row r="48" spans="1:9">
      <c r="A48" s="219" t="s">
        <v>1641</v>
      </c>
      <c r="B48" s="337"/>
      <c r="C48" s="337">
        <v>0</v>
      </c>
      <c r="D48" s="337">
        <v>0</v>
      </c>
      <c r="E48" s="220"/>
      <c r="G48" s="8" t="str">
        <f t="shared" ref="G48:G66" si="8">IF(OR(B48=0,C48=0),"",(C48-B48)/B48)</f>
        <v/>
      </c>
      <c r="H48" s="8" t="str">
        <f t="shared" ref="H48:H66" si="9">IF(OR(C48=0,D48=0),"",(D48-C48)/C48)</f>
        <v/>
      </c>
      <c r="I48" s="8" t="str">
        <f t="shared" ref="I48:I66" si="10">IF(OR(D48=0,E48=0),"",(E48-D48)/D48)</f>
        <v/>
      </c>
    </row>
    <row r="49" spans="1:9">
      <c r="A49" s="219" t="s">
        <v>1642</v>
      </c>
      <c r="B49" s="220"/>
      <c r="C49" s="214"/>
      <c r="D49" s="220"/>
      <c r="E49" s="220"/>
      <c r="G49" s="8" t="str">
        <f t="shared" si="8"/>
        <v/>
      </c>
      <c r="H49" s="8" t="str">
        <f t="shared" si="9"/>
        <v/>
      </c>
      <c r="I49" s="8" t="str">
        <f t="shared" si="10"/>
        <v/>
      </c>
    </row>
    <row r="50" spans="1:9">
      <c r="A50" s="219" t="s">
        <v>1643</v>
      </c>
      <c r="B50" s="220"/>
      <c r="C50" s="214"/>
      <c r="D50" s="220"/>
      <c r="E50" s="220"/>
      <c r="G50" s="8" t="str">
        <f t="shared" si="8"/>
        <v/>
      </c>
      <c r="H50" s="8" t="str">
        <f t="shared" si="9"/>
        <v/>
      </c>
      <c r="I50" s="8" t="str">
        <f t="shared" si="10"/>
        <v/>
      </c>
    </row>
    <row r="51" spans="1:9">
      <c r="A51" s="215" t="s">
        <v>53</v>
      </c>
      <c r="B51" s="216">
        <f>SUM(B48:B49)-B91</f>
        <v>1.0000000000000006E-5</v>
      </c>
      <c r="C51" s="216">
        <f>SUM(C48:C49)-C91</f>
        <v>0</v>
      </c>
      <c r="D51" s="217">
        <f>SUM(D48:D49)-D91</f>
        <v>0</v>
      </c>
      <c r="E51" s="216">
        <f>SUM(E48:E49)-E91</f>
        <v>0</v>
      </c>
      <c r="G51" s="8" t="str">
        <f t="shared" si="8"/>
        <v/>
      </c>
      <c r="H51" s="8" t="str">
        <f t="shared" si="9"/>
        <v/>
      </c>
      <c r="I51" s="8" t="str">
        <f t="shared" si="10"/>
        <v/>
      </c>
    </row>
    <row r="52" spans="1:9">
      <c r="A52" s="219" t="s">
        <v>54</v>
      </c>
      <c r="B52" s="220"/>
      <c r="C52" s="214"/>
      <c r="D52" s="214"/>
      <c r="E52" s="220"/>
      <c r="G52" s="8" t="str">
        <f t="shared" si="8"/>
        <v/>
      </c>
      <c r="H52" s="8" t="str">
        <f t="shared" si="9"/>
        <v/>
      </c>
      <c r="I52" s="8" t="str">
        <f t="shared" si="10"/>
        <v/>
      </c>
    </row>
    <row r="53" spans="1:9">
      <c r="A53" s="215" t="s">
        <v>55</v>
      </c>
      <c r="B53" s="216">
        <f>B51+B52-B77-B80-B88-B90</f>
        <v>1.0000000000000006E-5</v>
      </c>
      <c r="C53" s="216">
        <f>C51+C52-C77-C80-C88-C90</f>
        <v>0</v>
      </c>
      <c r="D53" s="217">
        <f>D51+D52-D77-D80-D88-D90</f>
        <v>0</v>
      </c>
      <c r="E53" s="216">
        <f>E51+E52-E77-E80-E88-E90</f>
        <v>0</v>
      </c>
      <c r="G53" s="8" t="str">
        <f t="shared" si="8"/>
        <v/>
      </c>
      <c r="H53" s="8" t="str">
        <f t="shared" si="9"/>
        <v/>
      </c>
      <c r="I53" s="8" t="str">
        <f t="shared" si="10"/>
        <v/>
      </c>
    </row>
    <row r="54" spans="1:9">
      <c r="A54" s="219" t="s">
        <v>56</v>
      </c>
      <c r="B54" s="337"/>
      <c r="C54" s="336"/>
      <c r="D54" s="336"/>
      <c r="E54" s="220"/>
      <c r="G54" s="8" t="str">
        <f t="shared" si="8"/>
        <v/>
      </c>
      <c r="H54" s="8" t="str">
        <f t="shared" si="9"/>
        <v/>
      </c>
      <c r="I54" s="8" t="str">
        <f t="shared" si="10"/>
        <v/>
      </c>
    </row>
    <row r="55" spans="1:9">
      <c r="A55" s="219" t="s">
        <v>57</v>
      </c>
      <c r="B55" s="337"/>
      <c r="C55" s="336"/>
      <c r="D55" s="336"/>
      <c r="E55" s="220"/>
      <c r="G55" s="8" t="str">
        <f t="shared" si="8"/>
        <v/>
      </c>
      <c r="H55" s="8" t="str">
        <f t="shared" si="9"/>
        <v/>
      </c>
      <c r="I55" s="8" t="str">
        <f t="shared" si="10"/>
        <v/>
      </c>
    </row>
    <row r="56" spans="1:9">
      <c r="A56" s="219" t="s">
        <v>58</v>
      </c>
      <c r="B56" s="337"/>
      <c r="C56" s="336"/>
      <c r="D56" s="337"/>
      <c r="E56" s="220"/>
      <c r="G56" s="8" t="str">
        <f t="shared" si="8"/>
        <v/>
      </c>
      <c r="H56" s="8" t="str">
        <f t="shared" si="9"/>
        <v/>
      </c>
      <c r="I56" s="8" t="str">
        <f t="shared" si="10"/>
        <v/>
      </c>
    </row>
    <row r="57" spans="1:9">
      <c r="A57" s="219" t="s">
        <v>59</v>
      </c>
      <c r="B57" s="337"/>
      <c r="C57" s="336"/>
      <c r="D57" s="336"/>
      <c r="E57" s="220"/>
      <c r="G57" s="8" t="str">
        <f t="shared" si="8"/>
        <v/>
      </c>
      <c r="H57" s="8" t="str">
        <f t="shared" si="9"/>
        <v/>
      </c>
      <c r="I57" s="8" t="str">
        <f t="shared" si="10"/>
        <v/>
      </c>
    </row>
    <row r="58" spans="1:9">
      <c r="A58" s="219" t="s">
        <v>1644</v>
      </c>
      <c r="B58" s="220"/>
      <c r="C58" s="214"/>
      <c r="D58" s="220"/>
      <c r="E58" s="220"/>
      <c r="G58" s="8" t="str">
        <f t="shared" si="8"/>
        <v/>
      </c>
      <c r="H58" s="8" t="str">
        <f t="shared" si="9"/>
        <v/>
      </c>
      <c r="I58" s="8" t="str">
        <f t="shared" si="10"/>
        <v/>
      </c>
    </row>
    <row r="59" spans="1:9">
      <c r="A59" s="215" t="s">
        <v>60</v>
      </c>
      <c r="B59" s="216">
        <f>SUM(B54:B58)+B62</f>
        <v>0</v>
      </c>
      <c r="C59" s="216">
        <f>SUM(C54:C58)+C62</f>
        <v>0</v>
      </c>
      <c r="D59" s="217">
        <f>SUM(D54:D58)+D62</f>
        <v>0</v>
      </c>
      <c r="E59" s="216">
        <f>SUM(E54:E58)+E62</f>
        <v>0</v>
      </c>
      <c r="G59" s="8" t="str">
        <f t="shared" si="8"/>
        <v/>
      </c>
      <c r="H59" s="8" t="str">
        <f t="shared" si="9"/>
        <v/>
      </c>
      <c r="I59" s="8" t="str">
        <f t="shared" si="10"/>
        <v/>
      </c>
    </row>
    <row r="60" spans="1:9">
      <c r="A60" s="215" t="s">
        <v>61</v>
      </c>
      <c r="B60" s="216">
        <f>SUM(B61:B64)+B54-B63</f>
        <v>0</v>
      </c>
      <c r="C60" s="216">
        <f>SUM(C61:C64)+C54-C63</f>
        <v>0</v>
      </c>
      <c r="D60" s="217">
        <f>SUM(D61:D64)+D54-D63</f>
        <v>5.93</v>
      </c>
      <c r="E60" s="216">
        <f>SUM(E61:E64)+E54-E63</f>
        <v>0</v>
      </c>
      <c r="G60" s="8" t="str">
        <f t="shared" si="8"/>
        <v/>
      </c>
      <c r="H60" s="8" t="str">
        <f t="shared" si="9"/>
        <v/>
      </c>
      <c r="I60" s="8" t="str">
        <f t="shared" si="10"/>
        <v/>
      </c>
    </row>
    <row r="61" spans="1:9">
      <c r="A61" s="219" t="s">
        <v>62</v>
      </c>
      <c r="B61" s="337"/>
      <c r="C61" s="336"/>
      <c r="D61" s="336"/>
      <c r="E61" s="220"/>
      <c r="G61" s="8" t="str">
        <f t="shared" si="8"/>
        <v/>
      </c>
      <c r="H61" s="8" t="str">
        <f t="shared" si="9"/>
        <v/>
      </c>
      <c r="I61" s="8" t="str">
        <f t="shared" si="10"/>
        <v/>
      </c>
    </row>
    <row r="62" spans="1:9">
      <c r="A62" s="219" t="s">
        <v>63</v>
      </c>
      <c r="B62" s="337"/>
      <c r="C62" s="337"/>
      <c r="D62" s="337"/>
      <c r="E62" s="220"/>
      <c r="G62" s="8" t="str">
        <f t="shared" si="8"/>
        <v/>
      </c>
      <c r="H62" s="8" t="str">
        <f t="shared" si="9"/>
        <v/>
      </c>
      <c r="I62" s="8" t="str">
        <f t="shared" si="10"/>
        <v/>
      </c>
    </row>
    <row r="63" spans="1:9">
      <c r="A63" s="219" t="s">
        <v>64</v>
      </c>
      <c r="B63" s="337"/>
      <c r="C63" s="336"/>
      <c r="D63" s="337"/>
      <c r="E63" s="220"/>
      <c r="G63" s="8" t="str">
        <f t="shared" si="8"/>
        <v/>
      </c>
      <c r="H63" s="8" t="str">
        <f t="shared" si="9"/>
        <v/>
      </c>
      <c r="I63" s="8" t="str">
        <f t="shared" si="10"/>
        <v/>
      </c>
    </row>
    <row r="64" spans="1:9">
      <c r="A64" s="219" t="s">
        <v>65</v>
      </c>
      <c r="B64" s="337"/>
      <c r="C64" s="336"/>
      <c r="D64" s="336">
        <v>5.93</v>
      </c>
      <c r="E64" s="220"/>
      <c r="G64" s="8" t="str">
        <f t="shared" si="8"/>
        <v/>
      </c>
      <c r="H64" s="8" t="str">
        <f t="shared" si="9"/>
        <v/>
      </c>
      <c r="I64" s="8" t="str">
        <f t="shared" si="10"/>
        <v/>
      </c>
    </row>
    <row r="65" spans="1:9">
      <c r="A65" s="215" t="s">
        <v>66</v>
      </c>
      <c r="B65" s="216">
        <f>B60+B59-B54-B62</f>
        <v>0</v>
      </c>
      <c r="C65" s="216">
        <f>C60+C59-C54-C62</f>
        <v>0</v>
      </c>
      <c r="D65" s="217">
        <f>D60+D59-D54-D62</f>
        <v>5.93</v>
      </c>
      <c r="E65" s="216">
        <f>E60+E59-E54-E62</f>
        <v>0</v>
      </c>
      <c r="G65" s="8" t="str">
        <f t="shared" si="8"/>
        <v/>
      </c>
      <c r="H65" s="8" t="str">
        <f t="shared" si="9"/>
        <v/>
      </c>
      <c r="I65" s="8" t="str">
        <f t="shared" si="10"/>
        <v/>
      </c>
    </row>
    <row r="66" spans="1:9">
      <c r="A66" s="215" t="s">
        <v>67</v>
      </c>
      <c r="B66" s="216">
        <f>B51+B59+B52+B60-B54-B62+B50+B63</f>
        <v>1.0000000000000006E-5</v>
      </c>
      <c r="C66" s="216">
        <f>C51+C59+C52+C60-C54-C62+C50+C63</f>
        <v>0</v>
      </c>
      <c r="D66" s="217">
        <f>D51+D59+D52+D60-D54-D62+D50+D63</f>
        <v>5.93</v>
      </c>
      <c r="E66" s="216">
        <f>E51+E59+E52+E60-E54-E62+E50+E63</f>
        <v>0</v>
      </c>
      <c r="G66" s="8" t="str">
        <f t="shared" si="8"/>
        <v/>
      </c>
      <c r="H66" s="8" t="str">
        <f t="shared" si="9"/>
        <v/>
      </c>
      <c r="I66" s="8" t="str">
        <f t="shared" si="10"/>
        <v/>
      </c>
    </row>
    <row r="67" spans="1:9">
      <c r="A67" s="201"/>
      <c r="B67" s="202"/>
      <c r="C67" s="202"/>
      <c r="D67" s="202"/>
      <c r="E67" s="202"/>
      <c r="G67" s="9"/>
      <c r="H67" s="9"/>
      <c r="I67" s="9"/>
    </row>
    <row r="68" spans="1:9">
      <c r="A68" s="212" t="s">
        <v>1645</v>
      </c>
      <c r="B68" s="211">
        <f>B47</f>
        <v>43555</v>
      </c>
      <c r="C68" s="211">
        <f>C47</f>
        <v>43921</v>
      </c>
      <c r="D68" s="211">
        <f>D47</f>
        <v>44286</v>
      </c>
      <c r="E68" s="211">
        <f>E47</f>
        <v>44651</v>
      </c>
      <c r="G68" s="7">
        <f>G47</f>
        <v>43921</v>
      </c>
      <c r="H68" s="7">
        <f>H47</f>
        <v>44286</v>
      </c>
      <c r="I68" s="7">
        <f>I47</f>
        <v>44651</v>
      </c>
    </row>
    <row r="69" spans="1:9">
      <c r="A69" s="219" t="s">
        <v>68</v>
      </c>
      <c r="B69" s="337"/>
      <c r="C69" s="337">
        <v>5.44</v>
      </c>
      <c r="D69" s="337">
        <v>4.63</v>
      </c>
      <c r="E69" s="220"/>
      <c r="G69" s="8" t="str">
        <f t="shared" ref="G69:G92" si="11">IF(OR(B69=0,C69=0),"",(C69-B69)/B69)</f>
        <v/>
      </c>
      <c r="H69" s="8">
        <f t="shared" ref="H69:H92" si="12">IF(OR(C69=0,D69=0),"",(D69-C69)/C69)</f>
        <v>-0.14889705882352949</v>
      </c>
      <c r="I69" s="8" t="str">
        <f t="shared" ref="I69:I92" si="13">IF(OR(D69=0,E69=0),"",(E69-D69)/D69)</f>
        <v/>
      </c>
    </row>
    <row r="70" spans="1:9">
      <c r="A70" s="219" t="s">
        <v>69</v>
      </c>
      <c r="B70" s="337"/>
      <c r="C70" s="336"/>
      <c r="D70" s="337"/>
      <c r="E70" s="220"/>
      <c r="G70" s="8" t="str">
        <f t="shared" si="11"/>
        <v/>
      </c>
      <c r="H70" s="8" t="str">
        <f t="shared" si="12"/>
        <v/>
      </c>
      <c r="I70" s="8" t="str">
        <f t="shared" si="13"/>
        <v/>
      </c>
    </row>
    <row r="71" spans="1:9">
      <c r="A71" s="219" t="s">
        <v>70</v>
      </c>
      <c r="B71" s="337"/>
      <c r="C71" s="337">
        <v>0.96</v>
      </c>
      <c r="D71" s="337">
        <v>0.77</v>
      </c>
      <c r="E71" s="220"/>
      <c r="G71" s="8" t="str">
        <f t="shared" si="11"/>
        <v/>
      </c>
      <c r="H71" s="8">
        <f t="shared" si="12"/>
        <v>-0.19791666666666663</v>
      </c>
      <c r="I71" s="8" t="str">
        <f t="shared" si="13"/>
        <v/>
      </c>
    </row>
    <row r="72" spans="1:9">
      <c r="A72" s="219" t="s">
        <v>1646</v>
      </c>
      <c r="B72" s="220"/>
      <c r="C72" s="214"/>
      <c r="D72" s="220"/>
      <c r="E72" s="220"/>
      <c r="G72" s="8" t="str">
        <f t="shared" si="11"/>
        <v/>
      </c>
      <c r="H72" s="8" t="str">
        <f t="shared" si="12"/>
        <v/>
      </c>
      <c r="I72" s="8" t="str">
        <f t="shared" si="13"/>
        <v/>
      </c>
    </row>
    <row r="73" spans="1:9">
      <c r="A73" s="219" t="s">
        <v>1643</v>
      </c>
      <c r="B73" s="220"/>
      <c r="C73" s="214"/>
      <c r="D73" s="220"/>
      <c r="E73" s="220"/>
      <c r="G73" s="8" t="str">
        <f t="shared" si="11"/>
        <v/>
      </c>
      <c r="H73" s="8" t="str">
        <f t="shared" si="12"/>
        <v/>
      </c>
      <c r="I73" s="8" t="str">
        <f t="shared" si="13"/>
        <v/>
      </c>
    </row>
    <row r="74" spans="1:9">
      <c r="A74" s="215" t="s">
        <v>1647</v>
      </c>
      <c r="B74" s="216">
        <f>B69+B70-B71-B73+B72</f>
        <v>0</v>
      </c>
      <c r="C74" s="216">
        <f>C69+C70-C71-C73+C72</f>
        <v>4.4800000000000004</v>
      </c>
      <c r="D74" s="217">
        <f>D69+D70-D71-D73+D72</f>
        <v>3.86</v>
      </c>
      <c r="E74" s="216">
        <f>E69+E70-E71-E73+E72</f>
        <v>0</v>
      </c>
      <c r="G74" s="8" t="str">
        <f t="shared" si="11"/>
        <v/>
      </c>
      <c r="H74" s="8">
        <f t="shared" si="12"/>
        <v>-0.13839285714285726</v>
      </c>
      <c r="I74" s="8" t="str">
        <f t="shared" si="13"/>
        <v/>
      </c>
    </row>
    <row r="75" spans="1:9">
      <c r="A75" s="215" t="s">
        <v>71</v>
      </c>
      <c r="B75" s="216">
        <f>SUM(B76:B77)</f>
        <v>0</v>
      </c>
      <c r="C75" s="216">
        <f>SUM(C76:C77)</f>
        <v>0</v>
      </c>
      <c r="D75" s="217">
        <f>SUM(D76:D77)</f>
        <v>0</v>
      </c>
      <c r="E75" s="216">
        <f>SUM(E76:E77)</f>
        <v>0</v>
      </c>
      <c r="G75" s="8" t="str">
        <f t="shared" si="11"/>
        <v/>
      </c>
      <c r="H75" s="8" t="str">
        <f t="shared" si="12"/>
        <v/>
      </c>
      <c r="I75" s="8" t="str">
        <f t="shared" si="13"/>
        <v/>
      </c>
    </row>
    <row r="76" spans="1:9">
      <c r="A76" s="219" t="s">
        <v>72</v>
      </c>
      <c r="B76" s="220"/>
      <c r="C76" s="214"/>
      <c r="D76" s="220"/>
      <c r="E76" s="220"/>
      <c r="G76" s="8" t="str">
        <f t="shared" si="11"/>
        <v/>
      </c>
      <c r="H76" s="8" t="str">
        <f t="shared" si="12"/>
        <v/>
      </c>
      <c r="I76" s="8" t="str">
        <f t="shared" si="13"/>
        <v/>
      </c>
    </row>
    <row r="77" spans="1:9">
      <c r="A77" s="219" t="s">
        <v>73</v>
      </c>
      <c r="B77" s="337"/>
      <c r="C77" s="337"/>
      <c r="D77" s="337"/>
      <c r="E77" s="220"/>
      <c r="G77" s="8" t="str">
        <f t="shared" si="11"/>
        <v/>
      </c>
      <c r="H77" s="8" t="str">
        <f t="shared" si="12"/>
        <v/>
      </c>
      <c r="I77" s="8" t="str">
        <f t="shared" si="13"/>
        <v/>
      </c>
    </row>
    <row r="78" spans="1:9">
      <c r="A78" s="215" t="s">
        <v>74</v>
      </c>
      <c r="B78" s="216">
        <f>SUM(B79:B84)-B80-B83+B87</f>
        <v>0</v>
      </c>
      <c r="C78" s="216">
        <f>SUM(C79:C84)-C80-C83+C87</f>
        <v>3.81</v>
      </c>
      <c r="D78" s="217">
        <f>SUM(D79:D84)-D80-D83+D87</f>
        <v>18.649999999999999</v>
      </c>
      <c r="E78" s="216">
        <f>SUM(E79:E84)-E80-E83+E87</f>
        <v>0</v>
      </c>
      <c r="G78" s="8" t="str">
        <f t="shared" si="11"/>
        <v/>
      </c>
      <c r="H78" s="8">
        <f t="shared" si="12"/>
        <v>3.8950131233595795</v>
      </c>
      <c r="I78" s="8" t="str">
        <f t="shared" si="13"/>
        <v/>
      </c>
    </row>
    <row r="79" spans="1:9">
      <c r="A79" s="219" t="s">
        <v>75</v>
      </c>
      <c r="B79" s="337"/>
      <c r="C79" s="336"/>
      <c r="D79" s="337"/>
      <c r="E79" s="220"/>
      <c r="G79" s="8" t="str">
        <f t="shared" si="11"/>
        <v/>
      </c>
      <c r="H79" s="8" t="str">
        <f t="shared" si="12"/>
        <v/>
      </c>
      <c r="I79" s="8" t="str">
        <f t="shared" si="13"/>
        <v/>
      </c>
    </row>
    <row r="80" spans="1:9">
      <c r="A80" s="219" t="s">
        <v>76</v>
      </c>
      <c r="B80" s="337"/>
      <c r="C80" s="336"/>
      <c r="D80" s="337"/>
      <c r="E80" s="220"/>
      <c r="G80" s="8" t="str">
        <f t="shared" si="11"/>
        <v/>
      </c>
      <c r="H80" s="8" t="str">
        <f t="shared" si="12"/>
        <v/>
      </c>
      <c r="I80" s="8" t="str">
        <f t="shared" si="13"/>
        <v/>
      </c>
    </row>
    <row r="81" spans="1:9">
      <c r="A81" s="219" t="s">
        <v>77</v>
      </c>
      <c r="B81" s="337"/>
      <c r="C81" s="336"/>
      <c r="D81" s="337">
        <v>3.53</v>
      </c>
      <c r="E81" s="220"/>
      <c r="G81" s="8" t="str">
        <f t="shared" si="11"/>
        <v/>
      </c>
      <c r="H81" s="8" t="str">
        <f t="shared" si="12"/>
        <v/>
      </c>
      <c r="I81" s="8" t="str">
        <f t="shared" si="13"/>
        <v/>
      </c>
    </row>
    <row r="82" spans="1:9">
      <c r="A82" s="219" t="s">
        <v>78</v>
      </c>
      <c r="B82" s="337"/>
      <c r="C82" s="336">
        <v>3.81</v>
      </c>
      <c r="D82" s="337">
        <f>14.95+0.17</f>
        <v>15.12</v>
      </c>
      <c r="E82" s="220"/>
      <c r="G82" s="8" t="str">
        <f t="shared" si="11"/>
        <v/>
      </c>
      <c r="H82" s="8">
        <f t="shared" si="12"/>
        <v>2.9685039370078736</v>
      </c>
      <c r="I82" s="8" t="str">
        <f t="shared" si="13"/>
        <v/>
      </c>
    </row>
    <row r="83" spans="1:9">
      <c r="A83" s="219" t="s">
        <v>79</v>
      </c>
      <c r="B83" s="337"/>
      <c r="C83" s="336"/>
      <c r="D83" s="337"/>
      <c r="E83" s="220"/>
      <c r="G83" s="8" t="str">
        <f t="shared" si="11"/>
        <v/>
      </c>
      <c r="H83" s="8" t="str">
        <f t="shared" si="12"/>
        <v/>
      </c>
      <c r="I83" s="8" t="str">
        <f t="shared" si="13"/>
        <v/>
      </c>
    </row>
    <row r="84" spans="1:9">
      <c r="A84" s="219" t="s">
        <v>80</v>
      </c>
      <c r="B84" s="337"/>
      <c r="C84" s="336"/>
      <c r="D84" s="337"/>
      <c r="E84" s="220"/>
      <c r="G84" s="8" t="str">
        <f t="shared" si="11"/>
        <v/>
      </c>
      <c r="H84" s="8" t="str">
        <f t="shared" si="12"/>
        <v/>
      </c>
      <c r="I84" s="8" t="str">
        <f t="shared" si="13"/>
        <v/>
      </c>
    </row>
    <row r="85" spans="1:9">
      <c r="A85" s="215" t="s">
        <v>81</v>
      </c>
      <c r="B85" s="216">
        <f>SUM(B86:B88)</f>
        <v>0</v>
      </c>
      <c r="C85" s="216">
        <f>SUM(C86:C88)</f>
        <v>0</v>
      </c>
      <c r="D85" s="217">
        <f>SUM(D86:D88)</f>
        <v>0</v>
      </c>
      <c r="E85" s="216">
        <f>SUM(E86:E88)</f>
        <v>0</v>
      </c>
      <c r="G85" s="8" t="str">
        <f t="shared" si="11"/>
        <v/>
      </c>
      <c r="H85" s="8" t="str">
        <f t="shared" si="12"/>
        <v/>
      </c>
      <c r="I85" s="8" t="str">
        <f t="shared" si="13"/>
        <v/>
      </c>
    </row>
    <row r="86" spans="1:9">
      <c r="A86" s="219" t="s">
        <v>1648</v>
      </c>
      <c r="B86" s="220"/>
      <c r="C86" s="214"/>
      <c r="D86" s="220"/>
      <c r="E86" s="220"/>
      <c r="G86" s="8" t="str">
        <f t="shared" si="11"/>
        <v/>
      </c>
      <c r="H86" s="8" t="str">
        <f t="shared" si="12"/>
        <v/>
      </c>
      <c r="I86" s="8" t="str">
        <f t="shared" si="13"/>
        <v/>
      </c>
    </row>
    <row r="87" spans="1:9">
      <c r="A87" s="219" t="s">
        <v>1649</v>
      </c>
      <c r="B87" s="337"/>
      <c r="C87" s="336"/>
      <c r="D87" s="337"/>
      <c r="E87" s="220"/>
      <c r="G87" s="8" t="str">
        <f t="shared" si="11"/>
        <v/>
      </c>
      <c r="H87" s="8" t="str">
        <f t="shared" si="12"/>
        <v/>
      </c>
      <c r="I87" s="8" t="str">
        <f t="shared" si="13"/>
        <v/>
      </c>
    </row>
    <row r="88" spans="1:9">
      <c r="A88" s="219" t="s">
        <v>82</v>
      </c>
      <c r="B88" s="220"/>
      <c r="C88" s="214"/>
      <c r="D88" s="220"/>
      <c r="E88" s="220"/>
      <c r="G88" s="8" t="str">
        <f t="shared" si="11"/>
        <v/>
      </c>
      <c r="H88" s="8" t="str">
        <f t="shared" si="12"/>
        <v/>
      </c>
      <c r="I88" s="8" t="str">
        <f t="shared" si="13"/>
        <v/>
      </c>
    </row>
    <row r="89" spans="1:9">
      <c r="A89" s="219" t="s">
        <v>1650</v>
      </c>
      <c r="B89" s="220"/>
      <c r="C89" s="214"/>
      <c r="D89" s="220"/>
      <c r="E89" s="220"/>
      <c r="G89" s="8" t="str">
        <f t="shared" si="11"/>
        <v/>
      </c>
      <c r="H89" s="8" t="str">
        <f t="shared" si="12"/>
        <v/>
      </c>
      <c r="I89" s="8" t="str">
        <f t="shared" si="13"/>
        <v/>
      </c>
    </row>
    <row r="90" spans="1:9">
      <c r="A90" s="219" t="s">
        <v>83</v>
      </c>
      <c r="B90" s="220"/>
      <c r="C90" s="214"/>
      <c r="D90" s="220"/>
      <c r="E90" s="220"/>
      <c r="G90" s="8" t="str">
        <f t="shared" si="11"/>
        <v/>
      </c>
      <c r="H90" s="8" t="str">
        <f t="shared" si="12"/>
        <v/>
      </c>
      <c r="I90" s="8" t="str">
        <f t="shared" si="13"/>
        <v/>
      </c>
    </row>
    <row r="91" spans="1:9">
      <c r="A91" s="219" t="s">
        <v>1651</v>
      </c>
      <c r="B91" s="220">
        <f>-0.1^5</f>
        <v>-1.0000000000000006E-5</v>
      </c>
      <c r="C91" s="214"/>
      <c r="D91" s="220"/>
      <c r="E91" s="220"/>
      <c r="G91" s="8" t="str">
        <f t="shared" si="11"/>
        <v/>
      </c>
      <c r="H91" s="8" t="str">
        <f t="shared" si="12"/>
        <v/>
      </c>
      <c r="I91" s="8" t="str">
        <f t="shared" si="13"/>
        <v/>
      </c>
    </row>
    <row r="92" spans="1:9">
      <c r="A92" s="215" t="s">
        <v>84</v>
      </c>
      <c r="B92" s="216">
        <f>B74+B75+B78+B85+B83+B90-B87+B80+B89</f>
        <v>0</v>
      </c>
      <c r="C92" s="216">
        <f>C74+C75+C78+C85+C83+C90-C87+C80+C89</f>
        <v>8.2900000000000009</v>
      </c>
      <c r="D92" s="217">
        <f>D74+D75+D78+D85+D83+D90-D87+D80+D89</f>
        <v>22.509999999999998</v>
      </c>
      <c r="E92" s="216">
        <f>E74+E75+E78+E85+E83+E90-E87+E80+E89</f>
        <v>0</v>
      </c>
      <c r="G92" s="8" t="str">
        <f t="shared" si="11"/>
        <v/>
      </c>
      <c r="H92" s="8">
        <f t="shared" si="12"/>
        <v>1.7153196622436666</v>
      </c>
      <c r="I92" s="8" t="str">
        <f t="shared" si="13"/>
        <v/>
      </c>
    </row>
    <row r="93" spans="1:9">
      <c r="A93" s="221" t="s">
        <v>85</v>
      </c>
      <c r="B93" s="222">
        <f>B66-B92</f>
        <v>1.0000000000000006E-5</v>
      </c>
      <c r="C93" s="222">
        <f>C66-C92</f>
        <v>-8.2900000000000009</v>
      </c>
      <c r="D93" s="223">
        <f>D66-D92</f>
        <v>-16.579999999999998</v>
      </c>
      <c r="E93" s="222">
        <f>E66-E92</f>
        <v>0</v>
      </c>
      <c r="G93" s="671"/>
      <c r="H93" s="672"/>
      <c r="I93" s="673"/>
    </row>
    <row r="94" spans="1:9">
      <c r="A94" s="203"/>
      <c r="B94" s="206"/>
      <c r="C94" s="206"/>
      <c r="D94" s="207"/>
      <c r="E94" s="207"/>
    </row>
    <row r="95" spans="1:9">
      <c r="A95" s="212" t="s">
        <v>86</v>
      </c>
      <c r="B95" s="211" t="str">
        <f>B46</f>
        <v>Audited and Filed</v>
      </c>
      <c r="C95" s="211" t="str">
        <f>C46</f>
        <v>Audited and Filed</v>
      </c>
      <c r="D95" s="211" t="str">
        <f>D46</f>
        <v>Audited and Not Filed</v>
      </c>
      <c r="E95" s="211" t="str">
        <f>E46</f>
        <v>Provisional</v>
      </c>
      <c r="G95" s="674" t="s">
        <v>87</v>
      </c>
      <c r="H95" s="674"/>
      <c r="I95" s="674"/>
    </row>
    <row r="96" spans="1:9">
      <c r="A96" s="224" t="s">
        <v>88</v>
      </c>
      <c r="B96" s="228"/>
      <c r="C96" s="228">
        <f>IFERROR((C5-B5)/B5,0)</f>
        <v>0</v>
      </c>
      <c r="D96" s="228">
        <f>IFERROR((D5-C5)/C5,0)</f>
        <v>0</v>
      </c>
      <c r="E96" s="228">
        <f>IFERROR((E5-D5)/D5,0)</f>
        <v>0</v>
      </c>
      <c r="G96" s="665"/>
      <c r="H96" s="665"/>
      <c r="I96" s="665"/>
    </row>
    <row r="97" spans="1:9">
      <c r="A97" s="224" t="s">
        <v>89</v>
      </c>
      <c r="B97" s="228">
        <f>IFERROR(B40/(B5+B6),0)</f>
        <v>0</v>
      </c>
      <c r="C97" s="228">
        <f>IFERROR(C40/(C5+C6),0)</f>
        <v>0</v>
      </c>
      <c r="D97" s="228">
        <f>IFERROR(D40/(D5+D6),0)</f>
        <v>0</v>
      </c>
      <c r="E97" s="228">
        <f>IFERROR(E40/(E5+E6),0)</f>
        <v>0</v>
      </c>
      <c r="G97" s="665"/>
      <c r="H97" s="665"/>
      <c r="I97" s="665"/>
    </row>
    <row r="98" spans="1:9">
      <c r="A98" s="224" t="s">
        <v>90</v>
      </c>
      <c r="B98" s="228">
        <f>IFERROR(B42/(B5+B6),0)</f>
        <v>0</v>
      </c>
      <c r="C98" s="228">
        <f>IFERROR(C42/(C5+C6),0)</f>
        <v>0</v>
      </c>
      <c r="D98" s="228">
        <f>IFERROR(D42/(D5+D6),0)</f>
        <v>0</v>
      </c>
      <c r="E98" s="228">
        <f>IFERROR(E42/(E5+E6),0)</f>
        <v>0</v>
      </c>
      <c r="G98" s="665"/>
      <c r="H98" s="665"/>
      <c r="I98" s="665"/>
    </row>
    <row r="99" spans="1:9">
      <c r="A99" s="224" t="s">
        <v>1652</v>
      </c>
      <c r="B99" s="228">
        <f>IFERROR(B23/(B5+B6),0)</f>
        <v>0</v>
      </c>
      <c r="C99" s="228">
        <f>IFERROR(C23/(C5+C6),0)</f>
        <v>0</v>
      </c>
      <c r="D99" s="228">
        <f>IFERROR(D23/(D5+D6),0)</f>
        <v>0</v>
      </c>
      <c r="E99" s="228">
        <f>IFERROR(E23/(E5+E6),0)</f>
        <v>0</v>
      </c>
      <c r="G99" s="665"/>
      <c r="H99" s="665"/>
      <c r="I99" s="665"/>
    </row>
    <row r="100" spans="1:9">
      <c r="A100" s="224" t="s">
        <v>1653</v>
      </c>
      <c r="B100" s="228">
        <f>IFERROR(B29/(B5+B6),0)</f>
        <v>0</v>
      </c>
      <c r="C100" s="228">
        <f>IFERROR(C29/(C5+C6),0)</f>
        <v>0</v>
      </c>
      <c r="D100" s="228">
        <f>IFERROR(D29/(D5+D6),0)</f>
        <v>0</v>
      </c>
      <c r="E100" s="228">
        <f>IFERROR(E29/(E5+E6),0)</f>
        <v>0</v>
      </c>
      <c r="G100" s="665"/>
      <c r="H100" s="665"/>
      <c r="I100" s="665"/>
    </row>
    <row r="101" spans="1:9">
      <c r="A101" s="224" t="s">
        <v>91</v>
      </c>
      <c r="B101" s="225">
        <f>IFERROR((B59-B54-B58+B62)/B53,0)</f>
        <v>0</v>
      </c>
      <c r="C101" s="225">
        <f t="shared" ref="C101:E101" si="14">IFERROR((C59-C54-C58+C62)/C53,0)</f>
        <v>0</v>
      </c>
      <c r="D101" s="225">
        <f t="shared" si="14"/>
        <v>0</v>
      </c>
      <c r="E101" s="225">
        <f t="shared" si="14"/>
        <v>0</v>
      </c>
      <c r="G101" s="665"/>
      <c r="H101" s="665"/>
      <c r="I101" s="665"/>
    </row>
    <row r="102" spans="1:9">
      <c r="A102" s="224" t="s">
        <v>92</v>
      </c>
      <c r="B102" s="225">
        <f>IFERROR(B65/B53,0)</f>
        <v>0</v>
      </c>
      <c r="C102" s="225">
        <f>IFERROR(C65/C53,0)</f>
        <v>0</v>
      </c>
      <c r="D102" s="225">
        <f>IFERROR(D65/D53,0)</f>
        <v>0</v>
      </c>
      <c r="E102" s="225">
        <f>IFERROR(E65/E53,0)</f>
        <v>0</v>
      </c>
      <c r="G102" s="665"/>
      <c r="H102" s="665"/>
      <c r="I102" s="665"/>
    </row>
    <row r="103" spans="1:9">
      <c r="A103" s="224" t="s">
        <v>93</v>
      </c>
      <c r="B103" s="225">
        <f>IFERROR(B29/(B25+B26+B27),0)</f>
        <v>0</v>
      </c>
      <c r="C103" s="225">
        <f>IFERROR(C29/(C25+C26+C27),0)</f>
        <v>0</v>
      </c>
      <c r="D103" s="225">
        <f>IFERROR(D29/(D25+D26+D27),0)</f>
        <v>0</v>
      </c>
      <c r="E103" s="225">
        <f>IFERROR(E29/(E25+E26+E27),0)</f>
        <v>0</v>
      </c>
      <c r="G103" s="665"/>
      <c r="H103" s="665"/>
      <c r="I103" s="665"/>
    </row>
    <row r="104" spans="1:9">
      <c r="A104" s="224" t="s">
        <v>94</v>
      </c>
      <c r="B104" s="225">
        <f>IFERROR((B80+B81)/(B5)*365,0)</f>
        <v>0</v>
      </c>
      <c r="C104" s="225">
        <f>IFERROR((C80+C81)/(C5)*365,0)</f>
        <v>0</v>
      </c>
      <c r="D104" s="225">
        <f>IFERROR((D80+D81)/(D5)*365,0)</f>
        <v>0</v>
      </c>
      <c r="E104" s="225">
        <f>IFERROR((E80+E81)/(E5)*365,0)</f>
        <v>0</v>
      </c>
      <c r="G104" s="665"/>
      <c r="H104" s="665"/>
      <c r="I104" s="665"/>
    </row>
    <row r="105" spans="1:9">
      <c r="A105" s="224" t="s">
        <v>95</v>
      </c>
      <c r="B105" s="225">
        <f>IFERROR(IF(B9=0,0,B79/B9*365),0)</f>
        <v>0</v>
      </c>
      <c r="C105" s="225">
        <f>IFERROR(IF(C9=0,0,C79/C9*365),0)</f>
        <v>0</v>
      </c>
      <c r="D105" s="225">
        <f>IFERROR(IF(D9=0,0,D79/D9*365),0)</f>
        <v>0</v>
      </c>
      <c r="E105" s="225">
        <f>IFERROR(IF(E9=0,0,E79/E9*365),0)</f>
        <v>0</v>
      </c>
      <c r="G105" s="665"/>
      <c r="H105" s="665"/>
      <c r="I105" s="665"/>
    </row>
    <row r="106" spans="1:9">
      <c r="A106" s="224" t="s">
        <v>96</v>
      </c>
      <c r="B106" s="225">
        <f>IFERROR(IF(B9=0,0,B61/B11*365),0)</f>
        <v>0</v>
      </c>
      <c r="C106" s="225">
        <f>IFERROR(IF(C9=0,0,C61/C11*365),0)</f>
        <v>0</v>
      </c>
      <c r="D106" s="225">
        <f>IFERROR(IF(D9=0,0,D61/D11*365),0)</f>
        <v>0</v>
      </c>
      <c r="E106" s="225">
        <f>IFERROR(IF(E9=0,0,E61/E11*365),0)</f>
        <v>0</v>
      </c>
      <c r="G106" s="665"/>
      <c r="H106" s="665"/>
      <c r="I106" s="665"/>
    </row>
    <row r="107" spans="1:9">
      <c r="A107" s="224" t="s">
        <v>97</v>
      </c>
      <c r="B107" s="225">
        <f>IFERROR(B104+B105-B106,0)</f>
        <v>0</v>
      </c>
      <c r="C107" s="225">
        <f>IFERROR(C104+C105-C106,0)</f>
        <v>0</v>
      </c>
      <c r="D107" s="225">
        <f>IFERROR(D104+D105-D106,0)</f>
        <v>0</v>
      </c>
      <c r="E107" s="225">
        <f>IFERROR(E104+E105-E106,0)</f>
        <v>0</v>
      </c>
      <c r="G107" s="665"/>
      <c r="H107" s="665"/>
      <c r="I107" s="665"/>
    </row>
    <row r="108" spans="1:9">
      <c r="A108" s="224" t="s">
        <v>1654</v>
      </c>
      <c r="B108" s="225">
        <f>IFERROR(B78-B60,0)</f>
        <v>0</v>
      </c>
      <c r="C108" s="225">
        <f>IFERROR(C78-C60,0)</f>
        <v>3.81</v>
      </c>
      <c r="D108" s="225">
        <f>IFERROR(D78-D60,0)</f>
        <v>12.719999999999999</v>
      </c>
      <c r="E108" s="225">
        <f>IFERROR(E78-E60,0)</f>
        <v>0</v>
      </c>
      <c r="G108" s="665"/>
      <c r="H108" s="665"/>
      <c r="I108" s="665"/>
    </row>
    <row r="109" spans="1:9">
      <c r="A109" s="224" t="s">
        <v>98</v>
      </c>
      <c r="B109" s="225">
        <f>IFERROR((B78-B84-B83+B86)/B60,0)</f>
        <v>0</v>
      </c>
      <c r="C109" s="225">
        <f>IFERROR((C78-C84-C83+C86)/C60,0)</f>
        <v>0</v>
      </c>
      <c r="D109" s="225">
        <f>IFERROR((D78-D84-D83+D86)/D60,0)</f>
        <v>3.1450252951096123</v>
      </c>
      <c r="E109" s="225">
        <f>IFERROR((E78-E84-E83+E86)/E60,0)</f>
        <v>0</v>
      </c>
      <c r="G109" s="665"/>
      <c r="H109" s="665"/>
      <c r="I109" s="665"/>
    </row>
    <row r="110" spans="1:9">
      <c r="A110" s="224" t="s">
        <v>1655</v>
      </c>
      <c r="B110" s="225">
        <f>IFERROR((B78-B84-B83+B86+B80)/B60,0)</f>
        <v>0</v>
      </c>
      <c r="C110" s="225">
        <f>IFERROR((C78-C84-C83+C86+C80)/C60,0)</f>
        <v>0</v>
      </c>
      <c r="D110" s="225">
        <f>IFERROR((D78-D84-D83+D86+D80)/D60,0)</f>
        <v>3.1450252951096123</v>
      </c>
      <c r="E110" s="225">
        <f>IFERROR((E78-E84-E83+E86+E80)/E60,0)</f>
        <v>0</v>
      </c>
      <c r="G110" s="665"/>
      <c r="H110" s="665"/>
      <c r="I110" s="665"/>
    </row>
    <row r="111" spans="1:9">
      <c r="A111" s="224" t="s">
        <v>1656</v>
      </c>
      <c r="B111" s="225">
        <f>IFERROR((B59-B54-B58+B62)/B23,0)</f>
        <v>0</v>
      </c>
      <c r="C111" s="225">
        <f t="shared" ref="C111:E111" si="15">IFERROR((C59-C54-C58+C62)/C23,0)</f>
        <v>0</v>
      </c>
      <c r="D111" s="225">
        <f t="shared" si="15"/>
        <v>0</v>
      </c>
      <c r="E111" s="225">
        <f t="shared" si="15"/>
        <v>0</v>
      </c>
      <c r="G111" s="665"/>
      <c r="H111" s="665"/>
      <c r="I111" s="665"/>
    </row>
    <row r="112" spans="1:9">
      <c r="A112" s="224" t="s">
        <v>99</v>
      </c>
      <c r="B112" s="225">
        <f>IFERROR(ROUNDUP(B59/B53,2),0)</f>
        <v>0</v>
      </c>
      <c r="C112" s="225">
        <f t="shared" ref="C112:E112" si="16">IFERROR(ROUNDUP(C59/C53,2),0)</f>
        <v>0</v>
      </c>
      <c r="D112" s="225">
        <f t="shared" si="16"/>
        <v>0</v>
      </c>
      <c r="E112" s="225">
        <f t="shared" si="16"/>
        <v>0</v>
      </c>
      <c r="G112" s="665"/>
      <c r="H112" s="665"/>
      <c r="I112" s="665"/>
    </row>
    <row r="113" spans="1:9">
      <c r="A113" s="224" t="s">
        <v>1657</v>
      </c>
      <c r="B113" s="225">
        <f>IFERROR((B23-B38)/(B24+B62),0)</f>
        <v>0</v>
      </c>
      <c r="C113" s="225">
        <f t="shared" ref="C113:E113" si="17">IFERROR((C23-C38)/(C24+C62),0)</f>
        <v>0</v>
      </c>
      <c r="D113" s="225">
        <f t="shared" si="17"/>
        <v>0</v>
      </c>
      <c r="E113" s="225">
        <f t="shared" si="17"/>
        <v>0</v>
      </c>
      <c r="G113" s="665"/>
      <c r="H113" s="665"/>
      <c r="I113" s="665"/>
    </row>
    <row r="114" spans="1:9">
      <c r="A114" s="208"/>
      <c r="B114" s="209"/>
      <c r="C114" s="209"/>
      <c r="D114" s="210"/>
      <c r="E114" s="210"/>
    </row>
    <row r="115" spans="1:9">
      <c r="A115" s="212" t="s">
        <v>100</v>
      </c>
      <c r="B115" s="211" t="str">
        <f>B95</f>
        <v>Audited and Filed</v>
      </c>
      <c r="C115" s="211" t="str">
        <f>C95</f>
        <v>Audited and Filed</v>
      </c>
      <c r="D115" s="211" t="str">
        <f>D95</f>
        <v>Audited and Not Filed</v>
      </c>
      <c r="E115" s="211" t="str">
        <f>E95</f>
        <v>Provisional</v>
      </c>
    </row>
    <row r="116" spans="1:9">
      <c r="A116" s="224" t="s">
        <v>101</v>
      </c>
      <c r="B116" s="662"/>
      <c r="C116" s="226"/>
      <c r="D116" s="227"/>
      <c r="E116" s="226"/>
    </row>
    <row r="117" spans="1:9">
      <c r="A117" s="224" t="s">
        <v>102</v>
      </c>
      <c r="B117" s="663"/>
      <c r="C117" s="226">
        <f>C40</f>
        <v>0</v>
      </c>
      <c r="D117" s="227">
        <f>D40</f>
        <v>0</v>
      </c>
      <c r="E117" s="226">
        <f>E40</f>
        <v>0</v>
      </c>
    </row>
    <row r="118" spans="1:9">
      <c r="A118" s="224" t="s">
        <v>103</v>
      </c>
      <c r="B118" s="663"/>
      <c r="C118" s="226">
        <f>C31</f>
        <v>0</v>
      </c>
      <c r="D118" s="227">
        <f>D31</f>
        <v>0</v>
      </c>
      <c r="E118" s="226">
        <f>E31</f>
        <v>0</v>
      </c>
    </row>
    <row r="119" spans="1:9">
      <c r="A119" s="224" t="s">
        <v>1658</v>
      </c>
      <c r="B119" s="663"/>
      <c r="C119" s="226">
        <f>C71-B71-C31</f>
        <v>0.96</v>
      </c>
      <c r="D119" s="227">
        <f>D71-C71-D31</f>
        <v>-0.18999999999999995</v>
      </c>
      <c r="E119" s="226">
        <f>E71-D71-E31</f>
        <v>-0.77</v>
      </c>
    </row>
    <row r="120" spans="1:9">
      <c r="A120" s="224" t="s">
        <v>1659</v>
      </c>
      <c r="B120" s="663"/>
      <c r="C120" s="226">
        <f t="shared" ref="C120:E121" si="18">C32</f>
        <v>0</v>
      </c>
      <c r="D120" s="227">
        <f t="shared" si="18"/>
        <v>0</v>
      </c>
      <c r="E120" s="226">
        <f t="shared" si="18"/>
        <v>0</v>
      </c>
    </row>
    <row r="121" spans="1:9">
      <c r="A121" s="224" t="s">
        <v>104</v>
      </c>
      <c r="B121" s="663"/>
      <c r="C121" s="226">
        <f t="shared" si="18"/>
        <v>0</v>
      </c>
      <c r="D121" s="227">
        <f t="shared" si="18"/>
        <v>0</v>
      </c>
      <c r="E121" s="226">
        <f t="shared" si="18"/>
        <v>0</v>
      </c>
    </row>
    <row r="122" spans="1:9">
      <c r="A122" s="224" t="s">
        <v>105</v>
      </c>
      <c r="B122" s="663"/>
      <c r="C122" s="226">
        <f>SUM(C117:C121)</f>
        <v>0.96</v>
      </c>
      <c r="D122" s="227">
        <f>SUM(D117:D121)</f>
        <v>-0.18999999999999995</v>
      </c>
      <c r="E122" s="226">
        <f>SUM(E117:E121)</f>
        <v>-0.77</v>
      </c>
    </row>
    <row r="123" spans="1:9">
      <c r="A123" s="224" t="s">
        <v>106</v>
      </c>
      <c r="B123" s="663"/>
      <c r="C123" s="226">
        <f>(B78-B82)-(C78-C82)</f>
        <v>0</v>
      </c>
      <c r="D123" s="227">
        <f>(C78-C82)-(D78-D82)</f>
        <v>-3.5299999999999994</v>
      </c>
      <c r="E123" s="226">
        <f>(D78-D82)-(E78-E82)</f>
        <v>3.5299999999999994</v>
      </c>
    </row>
    <row r="124" spans="1:9">
      <c r="A124" s="224" t="s">
        <v>1660</v>
      </c>
      <c r="B124" s="663"/>
      <c r="C124" s="226">
        <f>B89-C89</f>
        <v>0</v>
      </c>
      <c r="D124" s="227">
        <f>C89-D89</f>
        <v>0</v>
      </c>
      <c r="E124" s="226">
        <f>D89-E89</f>
        <v>0</v>
      </c>
    </row>
    <row r="125" spans="1:9">
      <c r="A125" s="224" t="s">
        <v>107</v>
      </c>
      <c r="B125" s="663"/>
      <c r="C125" s="226">
        <f>C60-B60</f>
        <v>0</v>
      </c>
      <c r="D125" s="227">
        <f>D60-C60</f>
        <v>5.93</v>
      </c>
      <c r="E125" s="226">
        <f>E60-D60</f>
        <v>-5.93</v>
      </c>
    </row>
    <row r="126" spans="1:9">
      <c r="A126" s="224" t="s">
        <v>108</v>
      </c>
      <c r="B126" s="663"/>
      <c r="C126" s="216">
        <f>C122+C123+C125</f>
        <v>0.96</v>
      </c>
      <c r="D126" s="217">
        <f>D122+D123+D125</f>
        <v>2.2100000000000004</v>
      </c>
      <c r="E126" s="216">
        <f>E122+E123+E125</f>
        <v>-3.1700000000000004</v>
      </c>
    </row>
    <row r="127" spans="1:9">
      <c r="A127" s="224" t="s">
        <v>109</v>
      </c>
      <c r="B127" s="663"/>
      <c r="C127" s="216">
        <f>C7</f>
        <v>0</v>
      </c>
      <c r="D127" s="217">
        <f>D7</f>
        <v>0</v>
      </c>
      <c r="E127" s="216">
        <f>E7</f>
        <v>0</v>
      </c>
    </row>
    <row r="128" spans="1:9">
      <c r="A128" s="224"/>
      <c r="B128" s="663"/>
      <c r="C128" s="226"/>
      <c r="D128" s="227"/>
      <c r="E128" s="226"/>
    </row>
    <row r="129" spans="1:5">
      <c r="A129" s="224" t="s">
        <v>110</v>
      </c>
      <c r="B129" s="663"/>
      <c r="C129" s="226"/>
      <c r="D129" s="227"/>
      <c r="E129" s="226"/>
    </row>
    <row r="130" spans="1:5">
      <c r="A130" s="224" t="s">
        <v>1661</v>
      </c>
      <c r="B130" s="663"/>
      <c r="C130" s="226">
        <f>B74+B71-C71-C74+B73-C73+B72-C72</f>
        <v>-5.44</v>
      </c>
      <c r="D130" s="227">
        <f>C74+C71-D71-D74+C73-D73+C72-D72</f>
        <v>0.81</v>
      </c>
      <c r="E130" s="226">
        <f>D74+D71-E71-E74+D73-E73+D72-E72</f>
        <v>4.63</v>
      </c>
    </row>
    <row r="131" spans="1:5">
      <c r="A131" s="224" t="s">
        <v>1662</v>
      </c>
      <c r="B131" s="663"/>
      <c r="C131" s="226">
        <f>-(C80-B80+C83-B83+C86-B86)</f>
        <v>0</v>
      </c>
      <c r="D131" s="227">
        <f>-(D80-C80+D83-C83+D86-C86)</f>
        <v>0</v>
      </c>
      <c r="E131" s="226">
        <f>-(E80-D80+E83-D83+E86-D86)</f>
        <v>0</v>
      </c>
    </row>
    <row r="132" spans="1:5">
      <c r="A132" s="224" t="s">
        <v>1663</v>
      </c>
      <c r="B132" s="663"/>
      <c r="C132" s="226">
        <f>B88-C88</f>
        <v>0</v>
      </c>
      <c r="D132" s="227">
        <f>C88-D88</f>
        <v>0</v>
      </c>
      <c r="E132" s="226">
        <f>D88-E88</f>
        <v>0</v>
      </c>
    </row>
    <row r="133" spans="1:5">
      <c r="A133" s="224" t="s">
        <v>111</v>
      </c>
      <c r="B133" s="663"/>
      <c r="C133" s="216">
        <f>SUM(C130:C132)</f>
        <v>-5.44</v>
      </c>
      <c r="D133" s="217">
        <f>SUM(D130:D132)</f>
        <v>0.81</v>
      </c>
      <c r="E133" s="216">
        <f>SUM(E130:E132)</f>
        <v>4.63</v>
      </c>
    </row>
    <row r="134" spans="1:5">
      <c r="A134" s="224"/>
      <c r="B134" s="663"/>
      <c r="C134" s="226"/>
      <c r="D134" s="227"/>
      <c r="E134" s="226"/>
    </row>
    <row r="135" spans="1:5">
      <c r="A135" s="224" t="s">
        <v>112</v>
      </c>
      <c r="B135" s="663"/>
      <c r="C135" s="226"/>
      <c r="D135" s="227"/>
      <c r="E135" s="226"/>
    </row>
    <row r="136" spans="1:5">
      <c r="A136" s="224" t="s">
        <v>113</v>
      </c>
      <c r="B136" s="663"/>
      <c r="C136" s="226">
        <f>C55-B55</f>
        <v>0</v>
      </c>
      <c r="D136" s="227">
        <f>D55-C55</f>
        <v>0</v>
      </c>
      <c r="E136" s="226">
        <f>E55-D55</f>
        <v>0</v>
      </c>
    </row>
    <row r="137" spans="1:5">
      <c r="A137" s="224" t="s">
        <v>114</v>
      </c>
      <c r="B137" s="663"/>
      <c r="C137" s="226">
        <f>C56+C57-B56-B57</f>
        <v>0</v>
      </c>
      <c r="D137" s="227">
        <f>D56+D57-C56-C57</f>
        <v>0</v>
      </c>
      <c r="E137" s="226">
        <f>E56+E57-D56-D57</f>
        <v>0</v>
      </c>
    </row>
    <row r="138" spans="1:5">
      <c r="A138" s="224" t="s">
        <v>115</v>
      </c>
      <c r="B138" s="663"/>
      <c r="C138" s="226">
        <f>(C51-C39)-B51</f>
        <v>-1.0000000000000006E-5</v>
      </c>
      <c r="D138" s="227">
        <f>(D51-D39)-C51</f>
        <v>0</v>
      </c>
      <c r="E138" s="226">
        <f>(E51-E39)-D51</f>
        <v>0</v>
      </c>
    </row>
    <row r="139" spans="1:5">
      <c r="A139" s="224" t="s">
        <v>1664</v>
      </c>
      <c r="B139" s="663"/>
      <c r="C139" s="226">
        <f>C52-B52</f>
        <v>0</v>
      </c>
      <c r="D139" s="227">
        <f>D52-C52</f>
        <v>0</v>
      </c>
      <c r="E139" s="226">
        <f>E52-D52</f>
        <v>0</v>
      </c>
    </row>
    <row r="140" spans="1:5">
      <c r="A140" s="224" t="s">
        <v>116</v>
      </c>
      <c r="B140" s="663"/>
      <c r="C140" s="216">
        <f>SUM(C136:C139)</f>
        <v>-1.0000000000000006E-5</v>
      </c>
      <c r="D140" s="217">
        <f>SUM(D136:D139)</f>
        <v>0</v>
      </c>
      <c r="E140" s="216">
        <f>SUM(E136:E139)</f>
        <v>0</v>
      </c>
    </row>
    <row r="141" spans="1:5">
      <c r="A141" s="224" t="s">
        <v>117</v>
      </c>
      <c r="B141" s="663"/>
      <c r="C141" s="216">
        <f>C126+C127+C133+C140</f>
        <v>-4.48001</v>
      </c>
      <c r="D141" s="217">
        <f>D126+D127+D133+D140</f>
        <v>3.0200000000000005</v>
      </c>
      <c r="E141" s="216">
        <f>E126+E127+E133+E140</f>
        <v>1.4599999999999995</v>
      </c>
    </row>
    <row r="142" spans="1:5">
      <c r="A142" s="224"/>
      <c r="B142" s="663"/>
      <c r="C142" s="226"/>
      <c r="D142" s="227"/>
      <c r="E142" s="226"/>
    </row>
    <row r="143" spans="1:5">
      <c r="A143" s="224" t="s">
        <v>118</v>
      </c>
      <c r="B143" s="663"/>
      <c r="C143" s="216">
        <f>B82</f>
        <v>0</v>
      </c>
      <c r="D143" s="217">
        <f>C82</f>
        <v>3.81</v>
      </c>
      <c r="E143" s="216">
        <f>D82</f>
        <v>15.12</v>
      </c>
    </row>
    <row r="144" spans="1:5">
      <c r="A144" s="224" t="s">
        <v>119</v>
      </c>
      <c r="B144" s="663"/>
      <c r="C144" s="216">
        <f>C82</f>
        <v>3.81</v>
      </c>
      <c r="D144" s="217">
        <f>D82</f>
        <v>15.12</v>
      </c>
      <c r="E144" s="216">
        <f>E82</f>
        <v>0</v>
      </c>
    </row>
    <row r="145" spans="1:5">
      <c r="A145" s="224"/>
      <c r="B145" s="663"/>
      <c r="C145" s="226"/>
      <c r="D145" s="227"/>
      <c r="E145" s="226"/>
    </row>
    <row r="146" spans="1:5">
      <c r="A146" s="221" t="s">
        <v>120</v>
      </c>
      <c r="B146" s="664"/>
      <c r="C146" s="222">
        <f>C143+C141-C144</f>
        <v>-8.2900100000000005</v>
      </c>
      <c r="D146" s="222">
        <f>D143+D141-D144</f>
        <v>-8.2899999999999991</v>
      </c>
      <c r="E146" s="223">
        <f>E143+E141-E144</f>
        <v>16.579999999999998</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oNs0TYsZgHIKiL9XVGES+ZTwGDlJC2EF7YaB4EPOWogx9sPpFH3zPYTIe+1Uon5Tx3rAv5WaPMEoHAtSlxAW0A==" saltValue="A8WYMQB7Tsx6cKiAjRrxIQ==" spinCount="100000" sheet="1" objects="1" scenarios="1"/>
  <mergeCells count="25">
    <mergeCell ref="A1:I1"/>
    <mergeCell ref="B2:I2"/>
    <mergeCell ref="G3:I3"/>
    <mergeCell ref="G46:I46"/>
    <mergeCell ref="G112:I112"/>
    <mergeCell ref="G93:I93"/>
    <mergeCell ref="G108:I108"/>
    <mergeCell ref="G109:I109"/>
    <mergeCell ref="G110:I110"/>
    <mergeCell ref="G95:I95"/>
    <mergeCell ref="B116:B146"/>
    <mergeCell ref="G96:I96"/>
    <mergeCell ref="G97:I97"/>
    <mergeCell ref="G98:I98"/>
    <mergeCell ref="G99:I99"/>
    <mergeCell ref="G100:I100"/>
    <mergeCell ref="G101:I101"/>
    <mergeCell ref="G102:I102"/>
    <mergeCell ref="G103:I103"/>
    <mergeCell ref="G104:I104"/>
    <mergeCell ref="G105:I105"/>
    <mergeCell ref="G111:I111"/>
    <mergeCell ref="G113:I113"/>
    <mergeCell ref="G106:I106"/>
    <mergeCell ref="G107:I107"/>
  </mergeCells>
  <dataValidations count="3">
    <dataValidation type="list" allowBlank="1" showInputMessage="1" showErrorMessage="1" prompt="Select the latest Audited Year" sqref="D4">
      <formula1>"31-Mar-2017,31-Mar-2018,31-Mar-2019,31-Mar-2020,31-Mar-2021"</formula1>
    </dataValidation>
    <dataValidation type="list" allowBlank="1" showInputMessage="1" showErrorMessage="1" sqref="B3:C3 E3">
      <formula1>"Audited and Not Filed, Unaudited and Filed, Audited and Filed, Provisional, Projections, CA Certified"</formula1>
    </dataValidation>
    <dataValidation type="list" allowBlank="1" showInputMessage="1" showErrorMessage="1" sqref="D3">
      <formula1>"Audited and Not Filed, Unaudited and Filed, Audited and Filed"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0" zoomScaleNormal="80" workbookViewId="0">
      <selection activeCell="B2" sqref="B2:I2"/>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666" t="s">
        <v>18</v>
      </c>
      <c r="B1" s="667"/>
      <c r="C1" s="667"/>
      <c r="D1" s="667"/>
      <c r="E1" s="667"/>
      <c r="F1" s="667"/>
      <c r="G1" s="667"/>
      <c r="H1" s="667"/>
      <c r="I1" s="667"/>
    </row>
    <row r="2" spans="1:9" s="3" customFormat="1" ht="21">
      <c r="A2" s="2" t="s">
        <v>19</v>
      </c>
      <c r="B2" s="668"/>
      <c r="C2" s="669"/>
      <c r="D2" s="669"/>
      <c r="E2" s="669"/>
      <c r="F2" s="669"/>
      <c r="G2" s="669"/>
      <c r="H2" s="669"/>
      <c r="I2" s="669"/>
    </row>
    <row r="3" spans="1:9">
      <c r="A3" s="4" t="s">
        <v>20</v>
      </c>
      <c r="B3" s="302" t="s">
        <v>1403</v>
      </c>
      <c r="C3" s="302" t="s">
        <v>1403</v>
      </c>
      <c r="D3" s="302" t="s">
        <v>1836</v>
      </c>
      <c r="E3" s="302" t="s">
        <v>1403</v>
      </c>
      <c r="G3" s="670" t="s">
        <v>21</v>
      </c>
      <c r="H3" s="670"/>
      <c r="I3" s="670"/>
    </row>
    <row r="4" spans="1:9">
      <c r="A4" s="212" t="s">
        <v>22</v>
      </c>
      <c r="B4" s="5">
        <f>DATE(YEAR(C4)-1,MONTH(C4),DAY(C4))</f>
        <v>43555</v>
      </c>
      <c r="C4" s="5">
        <f>DATE(YEAR(D4)-1,MONTH(D4),DAY(D4))</f>
        <v>43921</v>
      </c>
      <c r="D4" s="5">
        <f>'Fin-1'!D4</f>
        <v>44286</v>
      </c>
      <c r="E4" s="211">
        <f>DATE(YEAR(D4)+1,MONTH(D4),DAY(D4))</f>
        <v>44651</v>
      </c>
      <c r="G4" s="7">
        <f>C4</f>
        <v>43921</v>
      </c>
      <c r="H4" s="7">
        <f>D4</f>
        <v>44286</v>
      </c>
      <c r="I4" s="7">
        <f>E4</f>
        <v>44651</v>
      </c>
    </row>
    <row r="5" spans="1:9">
      <c r="A5" s="213" t="s">
        <v>23</v>
      </c>
      <c r="B5" s="214"/>
      <c r="C5" s="214"/>
      <c r="D5" s="214"/>
      <c r="E5" s="214"/>
      <c r="G5" s="8" t="str">
        <f t="shared" ref="G5:G44" si="0">IF(OR(B5=0,C5=0),"",(C5-B5)/B5)</f>
        <v/>
      </c>
      <c r="H5" s="8" t="str">
        <f t="shared" ref="H5:H44" si="1">IF(OR(C5=0,D5=0),"",(D5-C5)/C5)</f>
        <v/>
      </c>
      <c r="I5" s="8" t="str">
        <f t="shared" ref="I5:I44" si="2">IF(OR(D5=0,E5=0),"",(E5-D5)/D5)</f>
        <v/>
      </c>
    </row>
    <row r="6" spans="1:9">
      <c r="A6" s="213" t="s">
        <v>24</v>
      </c>
      <c r="B6" s="214"/>
      <c r="C6" s="214"/>
      <c r="D6" s="214"/>
      <c r="E6" s="214"/>
      <c r="G6" s="8" t="str">
        <f t="shared" si="0"/>
        <v/>
      </c>
      <c r="H6" s="8" t="str">
        <f t="shared" si="1"/>
        <v/>
      </c>
      <c r="I6" s="8" t="str">
        <f t="shared" si="2"/>
        <v/>
      </c>
    </row>
    <row r="7" spans="1:9">
      <c r="A7" s="213" t="s">
        <v>25</v>
      </c>
      <c r="B7" s="214"/>
      <c r="C7" s="214"/>
      <c r="D7" s="214"/>
      <c r="E7" s="214"/>
      <c r="G7" s="8" t="str">
        <f t="shared" si="0"/>
        <v/>
      </c>
      <c r="H7" s="8" t="str">
        <f t="shared" si="1"/>
        <v/>
      </c>
      <c r="I7" s="8" t="str">
        <f t="shared" si="2"/>
        <v/>
      </c>
    </row>
    <row r="8" spans="1:9">
      <c r="A8" s="215" t="s">
        <v>26</v>
      </c>
      <c r="B8" s="216">
        <f>SUM(B5:B7)</f>
        <v>0</v>
      </c>
      <c r="C8" s="216">
        <f>SUM(C5:C7)</f>
        <v>0</v>
      </c>
      <c r="D8" s="216">
        <f>SUM(D5:D7)</f>
        <v>0</v>
      </c>
      <c r="E8" s="216">
        <f>SUM(E5:E7)</f>
        <v>0</v>
      </c>
      <c r="G8" s="8" t="str">
        <f t="shared" si="0"/>
        <v/>
      </c>
      <c r="H8" s="8" t="str">
        <f t="shared" si="1"/>
        <v/>
      </c>
      <c r="I8" s="8" t="str">
        <f t="shared" si="2"/>
        <v/>
      </c>
    </row>
    <row r="9" spans="1:9">
      <c r="A9" s="215" t="s">
        <v>1630</v>
      </c>
      <c r="B9" s="216">
        <f>B10+B11+B12-B13+B14+B15</f>
        <v>0</v>
      </c>
      <c r="C9" s="216">
        <f>C10+C11+C12-C13+C14+C15</f>
        <v>0</v>
      </c>
      <c r="D9" s="216">
        <f>D10+D11+D12-D13+D14+D15</f>
        <v>0</v>
      </c>
      <c r="E9" s="216">
        <f>E10+E11+E12-E13+E14+E15</f>
        <v>0</v>
      </c>
      <c r="G9" s="8" t="str">
        <f t="shared" si="0"/>
        <v/>
      </c>
      <c r="H9" s="8" t="str">
        <f t="shared" si="1"/>
        <v/>
      </c>
      <c r="I9" s="8" t="str">
        <f t="shared" si="2"/>
        <v/>
      </c>
    </row>
    <row r="10" spans="1:9">
      <c r="A10" s="213" t="s">
        <v>27</v>
      </c>
      <c r="B10" s="214"/>
      <c r="C10" s="214"/>
      <c r="D10" s="214"/>
      <c r="E10" s="214"/>
      <c r="G10" s="8" t="str">
        <f t="shared" si="0"/>
        <v/>
      </c>
      <c r="H10" s="8" t="str">
        <f t="shared" si="1"/>
        <v/>
      </c>
      <c r="I10" s="8" t="str">
        <f t="shared" si="2"/>
        <v/>
      </c>
    </row>
    <row r="11" spans="1:9">
      <c r="A11" s="213" t="s">
        <v>28</v>
      </c>
      <c r="B11" s="214"/>
      <c r="C11" s="214"/>
      <c r="D11" s="214"/>
      <c r="E11" s="214"/>
      <c r="G11" s="8" t="str">
        <f t="shared" si="0"/>
        <v/>
      </c>
      <c r="H11" s="8" t="str">
        <f t="shared" si="1"/>
        <v/>
      </c>
      <c r="I11" s="8" t="str">
        <f t="shared" si="2"/>
        <v/>
      </c>
    </row>
    <row r="12" spans="1:9">
      <c r="A12" s="213" t="s">
        <v>1631</v>
      </c>
      <c r="B12" s="214"/>
      <c r="C12" s="214"/>
      <c r="D12" s="214"/>
      <c r="E12" s="214"/>
      <c r="G12" s="8" t="str">
        <f t="shared" si="0"/>
        <v/>
      </c>
      <c r="H12" s="8" t="str">
        <f t="shared" si="1"/>
        <v/>
      </c>
      <c r="I12" s="8" t="str">
        <f t="shared" si="2"/>
        <v/>
      </c>
    </row>
    <row r="13" spans="1:9">
      <c r="A13" s="213" t="s">
        <v>29</v>
      </c>
      <c r="B13" s="214"/>
      <c r="C13" s="214"/>
      <c r="D13" s="214"/>
      <c r="E13" s="214"/>
      <c r="G13" s="8" t="str">
        <f t="shared" si="0"/>
        <v/>
      </c>
      <c r="H13" s="8" t="str">
        <f t="shared" si="1"/>
        <v/>
      </c>
      <c r="I13" s="8" t="str">
        <f t="shared" si="2"/>
        <v/>
      </c>
    </row>
    <row r="14" spans="1:9">
      <c r="A14" s="213" t="s">
        <v>1632</v>
      </c>
      <c r="B14" s="214"/>
      <c r="C14" s="214"/>
      <c r="D14" s="214"/>
      <c r="E14" s="214"/>
      <c r="G14" s="8" t="str">
        <f t="shared" si="0"/>
        <v/>
      </c>
      <c r="H14" s="8" t="str">
        <f t="shared" si="1"/>
        <v/>
      </c>
      <c r="I14" s="8" t="str">
        <f t="shared" si="2"/>
        <v/>
      </c>
    </row>
    <row r="15" spans="1:9">
      <c r="A15" s="213" t="s">
        <v>30</v>
      </c>
      <c r="B15" s="214"/>
      <c r="C15" s="214"/>
      <c r="D15" s="214"/>
      <c r="E15" s="214"/>
      <c r="G15" s="8" t="str">
        <f t="shared" si="0"/>
        <v/>
      </c>
      <c r="H15" s="8" t="str">
        <f t="shared" si="1"/>
        <v/>
      </c>
      <c r="I15" s="8" t="str">
        <f t="shared" si="2"/>
        <v/>
      </c>
    </row>
    <row r="16" spans="1:9">
      <c r="A16" s="215" t="s">
        <v>31</v>
      </c>
      <c r="B16" s="216">
        <f t="shared" ref="B16:E16" si="3">B8-B9</f>
        <v>0</v>
      </c>
      <c r="C16" s="216">
        <f t="shared" si="3"/>
        <v>0</v>
      </c>
      <c r="D16" s="217">
        <f t="shared" si="3"/>
        <v>0</v>
      </c>
      <c r="E16" s="216">
        <f t="shared" si="3"/>
        <v>0</v>
      </c>
      <c r="G16" s="8" t="str">
        <f t="shared" si="0"/>
        <v/>
      </c>
      <c r="H16" s="8" t="str">
        <f t="shared" si="1"/>
        <v/>
      </c>
      <c r="I16" s="8" t="str">
        <f t="shared" si="2"/>
        <v/>
      </c>
    </row>
    <row r="17" spans="1:9">
      <c r="A17" s="215" t="s">
        <v>1677</v>
      </c>
      <c r="B17" s="216">
        <f>B8-B9-B7</f>
        <v>0</v>
      </c>
      <c r="C17" s="216">
        <f t="shared" ref="C17:E17" si="4">C8-C9-C7</f>
        <v>0</v>
      </c>
      <c r="D17" s="216">
        <f t="shared" si="4"/>
        <v>0</v>
      </c>
      <c r="E17" s="216">
        <f t="shared" si="4"/>
        <v>0</v>
      </c>
      <c r="G17" s="8" t="str">
        <f t="shared" si="0"/>
        <v/>
      </c>
      <c r="H17" s="8" t="str">
        <f t="shared" si="1"/>
        <v/>
      </c>
      <c r="I17" s="8" t="str">
        <f t="shared" si="2"/>
        <v/>
      </c>
    </row>
    <row r="18" spans="1:9">
      <c r="A18" s="213" t="s">
        <v>32</v>
      </c>
      <c r="B18" s="214"/>
      <c r="C18" s="214"/>
      <c r="D18" s="214"/>
      <c r="E18" s="214"/>
      <c r="G18" s="8" t="str">
        <f t="shared" si="0"/>
        <v/>
      </c>
      <c r="H18" s="8" t="str">
        <f t="shared" si="1"/>
        <v/>
      </c>
      <c r="I18" s="8" t="str">
        <f t="shared" si="2"/>
        <v/>
      </c>
    </row>
    <row r="19" spans="1:9">
      <c r="A19" s="213" t="s">
        <v>33</v>
      </c>
      <c r="B19" s="214"/>
      <c r="C19" s="214"/>
      <c r="D19" s="214"/>
      <c r="E19" s="214"/>
      <c r="G19" s="8" t="str">
        <f t="shared" si="0"/>
        <v/>
      </c>
      <c r="H19" s="8" t="str">
        <f t="shared" si="1"/>
        <v/>
      </c>
      <c r="I19" s="8" t="str">
        <f t="shared" si="2"/>
        <v/>
      </c>
    </row>
    <row r="20" spans="1:9">
      <c r="A20" s="213" t="s">
        <v>34</v>
      </c>
      <c r="B20" s="214"/>
      <c r="C20" s="214"/>
      <c r="D20" s="214"/>
      <c r="E20" s="214"/>
      <c r="G20" s="8" t="str">
        <f t="shared" si="0"/>
        <v/>
      </c>
      <c r="H20" s="8" t="str">
        <f t="shared" si="1"/>
        <v/>
      </c>
      <c r="I20" s="8" t="str">
        <f t="shared" si="2"/>
        <v/>
      </c>
    </row>
    <row r="21" spans="1:9">
      <c r="A21" s="213" t="s">
        <v>1633</v>
      </c>
      <c r="B21" s="214"/>
      <c r="C21" s="214"/>
      <c r="D21" s="214"/>
      <c r="E21" s="214"/>
      <c r="G21" s="8" t="str">
        <f t="shared" si="0"/>
        <v/>
      </c>
      <c r="H21" s="8" t="str">
        <f t="shared" si="1"/>
        <v/>
      </c>
      <c r="I21" s="8" t="str">
        <f t="shared" si="2"/>
        <v/>
      </c>
    </row>
    <row r="22" spans="1:9">
      <c r="A22" s="213" t="s">
        <v>1634</v>
      </c>
      <c r="B22" s="214"/>
      <c r="C22" s="214"/>
      <c r="D22" s="214"/>
      <c r="E22" s="214"/>
      <c r="G22" s="8" t="str">
        <f t="shared" si="0"/>
        <v/>
      </c>
      <c r="H22" s="8" t="str">
        <f t="shared" si="1"/>
        <v/>
      </c>
      <c r="I22" s="8" t="str">
        <f t="shared" si="2"/>
        <v/>
      </c>
    </row>
    <row r="23" spans="1:9">
      <c r="A23" s="215" t="s">
        <v>1635</v>
      </c>
      <c r="B23" s="216">
        <f>B17-SUM(B18:B22)</f>
        <v>0</v>
      </c>
      <c r="C23" s="216">
        <f>C17-SUM(C18:C22)</f>
        <v>0</v>
      </c>
      <c r="D23" s="217">
        <f>D17-SUM(D18:D22)</f>
        <v>0</v>
      </c>
      <c r="E23" s="216">
        <f>E17-SUM(E18:E22)</f>
        <v>0</v>
      </c>
      <c r="G23" s="8" t="str">
        <f t="shared" si="0"/>
        <v/>
      </c>
      <c r="H23" s="8" t="str">
        <f t="shared" si="1"/>
        <v/>
      </c>
      <c r="I23" s="8" t="str">
        <f t="shared" si="2"/>
        <v/>
      </c>
    </row>
    <row r="24" spans="1:9">
      <c r="A24" s="215" t="s">
        <v>1636</v>
      </c>
      <c r="B24" s="216">
        <f>SUM(B25:B28)</f>
        <v>0</v>
      </c>
      <c r="C24" s="216">
        <f>SUM(C25:C28)</f>
        <v>0</v>
      </c>
      <c r="D24" s="217">
        <f>SUM(D25:D28)</f>
        <v>0</v>
      </c>
      <c r="E24" s="216">
        <f>SUM(E25:E28)</f>
        <v>0</v>
      </c>
      <c r="G24" s="8" t="str">
        <f t="shared" si="0"/>
        <v/>
      </c>
      <c r="H24" s="8" t="str">
        <f t="shared" si="1"/>
        <v/>
      </c>
      <c r="I24" s="8" t="str">
        <f t="shared" si="2"/>
        <v/>
      </c>
    </row>
    <row r="25" spans="1:9">
      <c r="A25" s="213" t="s">
        <v>36</v>
      </c>
      <c r="B25" s="214"/>
      <c r="C25" s="214"/>
      <c r="D25" s="214"/>
      <c r="E25" s="214"/>
      <c r="G25" s="8" t="str">
        <f t="shared" si="0"/>
        <v/>
      </c>
      <c r="H25" s="8" t="str">
        <f t="shared" si="1"/>
        <v/>
      </c>
      <c r="I25" s="8" t="str">
        <f t="shared" si="2"/>
        <v/>
      </c>
    </row>
    <row r="26" spans="1:9">
      <c r="A26" s="213" t="s">
        <v>37</v>
      </c>
      <c r="B26" s="214"/>
      <c r="C26" s="214"/>
      <c r="D26" s="214"/>
      <c r="E26" s="214"/>
      <c r="G26" s="8" t="str">
        <f t="shared" si="0"/>
        <v/>
      </c>
      <c r="H26" s="8" t="str">
        <f t="shared" si="1"/>
        <v/>
      </c>
      <c r="I26" s="8" t="str">
        <f t="shared" si="2"/>
        <v/>
      </c>
    </row>
    <row r="27" spans="1:9">
      <c r="A27" s="213" t="s">
        <v>38</v>
      </c>
      <c r="B27" s="214"/>
      <c r="C27" s="214"/>
      <c r="D27" s="214"/>
      <c r="E27" s="214"/>
      <c r="G27" s="8" t="str">
        <f t="shared" si="0"/>
        <v/>
      </c>
      <c r="H27" s="8" t="str">
        <f t="shared" si="1"/>
        <v/>
      </c>
      <c r="I27" s="8" t="str">
        <f t="shared" si="2"/>
        <v/>
      </c>
    </row>
    <row r="28" spans="1:9">
      <c r="A28" s="213" t="s">
        <v>35</v>
      </c>
      <c r="B28" s="214"/>
      <c r="C28" s="214"/>
      <c r="D28" s="214"/>
      <c r="E28" s="214"/>
      <c r="G28" s="8" t="str">
        <f t="shared" si="0"/>
        <v/>
      </c>
      <c r="H28" s="8" t="str">
        <f t="shared" si="1"/>
        <v/>
      </c>
      <c r="I28" s="8" t="str">
        <f t="shared" si="2"/>
        <v/>
      </c>
    </row>
    <row r="29" spans="1:9">
      <c r="A29" s="215" t="s">
        <v>1637</v>
      </c>
      <c r="B29" s="216">
        <f>B23-B28</f>
        <v>0</v>
      </c>
      <c r="C29" s="216">
        <f>C23-C28</f>
        <v>0</v>
      </c>
      <c r="D29" s="217">
        <f>D23-D28</f>
        <v>0</v>
      </c>
      <c r="E29" s="216">
        <f>E23-E28</f>
        <v>0</v>
      </c>
      <c r="G29" s="8" t="str">
        <f t="shared" si="0"/>
        <v/>
      </c>
      <c r="H29" s="8" t="str">
        <f t="shared" si="1"/>
        <v/>
      </c>
      <c r="I29" s="8" t="str">
        <f t="shared" si="2"/>
        <v/>
      </c>
    </row>
    <row r="30" spans="1:9">
      <c r="A30" s="215" t="s">
        <v>1638</v>
      </c>
      <c r="B30" s="216">
        <f>B29-B25</f>
        <v>0</v>
      </c>
      <c r="C30" s="216">
        <f>C29-C25</f>
        <v>0</v>
      </c>
      <c r="D30" s="217">
        <f>D29-D25</f>
        <v>0</v>
      </c>
      <c r="E30" s="216">
        <f>E29-E25</f>
        <v>0</v>
      </c>
      <c r="G30" s="8" t="str">
        <f t="shared" si="0"/>
        <v/>
      </c>
      <c r="H30" s="8" t="str">
        <f t="shared" si="1"/>
        <v/>
      </c>
      <c r="I30" s="8" t="str">
        <f t="shared" si="2"/>
        <v/>
      </c>
    </row>
    <row r="31" spans="1:9">
      <c r="A31" s="213" t="s">
        <v>39</v>
      </c>
      <c r="B31" s="214"/>
      <c r="C31" s="214"/>
      <c r="D31" s="214"/>
      <c r="E31" s="214"/>
      <c r="G31" s="8" t="str">
        <f t="shared" si="0"/>
        <v/>
      </c>
      <c r="H31" s="8" t="str">
        <f t="shared" si="1"/>
        <v/>
      </c>
      <c r="I31" s="8" t="str">
        <f t="shared" si="2"/>
        <v/>
      </c>
    </row>
    <row r="32" spans="1:9">
      <c r="A32" s="213" t="s">
        <v>40</v>
      </c>
      <c r="B32" s="214"/>
      <c r="C32" s="214"/>
      <c r="D32" s="214"/>
      <c r="E32" s="214"/>
      <c r="G32" s="8" t="str">
        <f t="shared" si="0"/>
        <v/>
      </c>
      <c r="H32" s="8" t="str">
        <f t="shared" si="1"/>
        <v/>
      </c>
      <c r="I32" s="8" t="str">
        <f t="shared" si="2"/>
        <v/>
      </c>
    </row>
    <row r="33" spans="1:9">
      <c r="A33" s="213" t="s">
        <v>41</v>
      </c>
      <c r="B33" s="214"/>
      <c r="C33" s="214"/>
      <c r="D33" s="214"/>
      <c r="E33" s="214"/>
      <c r="G33" s="8" t="str">
        <f t="shared" si="0"/>
        <v/>
      </c>
      <c r="H33" s="8" t="str">
        <f t="shared" si="1"/>
        <v/>
      </c>
      <c r="I33" s="8" t="str">
        <f t="shared" si="2"/>
        <v/>
      </c>
    </row>
    <row r="34" spans="1:9">
      <c r="A34" s="213" t="s">
        <v>42</v>
      </c>
      <c r="B34" s="214"/>
      <c r="C34" s="214"/>
      <c r="D34" s="214"/>
      <c r="E34" s="214"/>
      <c r="G34" s="8" t="str">
        <f t="shared" si="0"/>
        <v/>
      </c>
      <c r="H34" s="8" t="str">
        <f t="shared" si="1"/>
        <v/>
      </c>
      <c r="I34" s="8" t="str">
        <f t="shared" si="2"/>
        <v/>
      </c>
    </row>
    <row r="35" spans="1:9">
      <c r="A35" s="213" t="s">
        <v>43</v>
      </c>
      <c r="B35" s="214"/>
      <c r="C35" s="214"/>
      <c r="D35" s="214"/>
      <c r="E35" s="214"/>
      <c r="G35" s="8" t="str">
        <f t="shared" si="0"/>
        <v/>
      </c>
      <c r="H35" s="8" t="str">
        <f t="shared" si="1"/>
        <v/>
      </c>
      <c r="I35" s="8" t="str">
        <f t="shared" si="2"/>
        <v/>
      </c>
    </row>
    <row r="36" spans="1:9">
      <c r="A36" s="215" t="s">
        <v>44</v>
      </c>
      <c r="B36" s="216">
        <f>B23-B24-SUM(B31:B35)+B7</f>
        <v>0</v>
      </c>
      <c r="C36" s="216">
        <f>C23-C24-SUM(C31:C35)+C7</f>
        <v>0</v>
      </c>
      <c r="D36" s="217">
        <f>D23-D24-SUM(D31:D35)+D7</f>
        <v>0</v>
      </c>
      <c r="E36" s="216">
        <f>E23-E24-SUM(E31:E35)+E7</f>
        <v>0</v>
      </c>
      <c r="G36" s="8" t="str">
        <f t="shared" si="0"/>
        <v/>
      </c>
      <c r="H36" s="8" t="str">
        <f t="shared" si="1"/>
        <v/>
      </c>
      <c r="I36" s="8" t="str">
        <f t="shared" si="2"/>
        <v/>
      </c>
    </row>
    <row r="37" spans="1:9">
      <c r="A37" s="215" t="s">
        <v>45</v>
      </c>
      <c r="B37" s="216">
        <f>B36-B7</f>
        <v>0</v>
      </c>
      <c r="C37" s="216">
        <f>C36-C7</f>
        <v>0</v>
      </c>
      <c r="D37" s="217">
        <f>D36-D7</f>
        <v>0</v>
      </c>
      <c r="E37" s="216">
        <f>E36-E7</f>
        <v>0</v>
      </c>
      <c r="G37" s="8" t="str">
        <f t="shared" si="0"/>
        <v/>
      </c>
      <c r="H37" s="8" t="str">
        <f t="shared" si="1"/>
        <v/>
      </c>
      <c r="I37" s="8" t="str">
        <f t="shared" si="2"/>
        <v/>
      </c>
    </row>
    <row r="38" spans="1:9">
      <c r="A38" s="213" t="s">
        <v>46</v>
      </c>
      <c r="B38" s="214"/>
      <c r="C38" s="214"/>
      <c r="D38" s="214"/>
      <c r="E38" s="214"/>
      <c r="G38" s="8" t="str">
        <f t="shared" si="0"/>
        <v/>
      </c>
      <c r="H38" s="8" t="str">
        <f t="shared" si="1"/>
        <v/>
      </c>
      <c r="I38" s="8" t="str">
        <f t="shared" si="2"/>
        <v/>
      </c>
    </row>
    <row r="39" spans="1:9">
      <c r="A39" s="215" t="s">
        <v>47</v>
      </c>
      <c r="B39" s="216">
        <f>B36-B38</f>
        <v>0</v>
      </c>
      <c r="C39" s="216">
        <f>C36-C38</f>
        <v>0</v>
      </c>
      <c r="D39" s="217">
        <f>D36-D38</f>
        <v>0</v>
      </c>
      <c r="E39" s="216">
        <f>E36-E38</f>
        <v>0</v>
      </c>
      <c r="G39" s="8" t="str">
        <f t="shared" si="0"/>
        <v/>
      </c>
      <c r="H39" s="8" t="str">
        <f t="shared" si="1"/>
        <v/>
      </c>
      <c r="I39" s="8" t="str">
        <f t="shared" si="2"/>
        <v/>
      </c>
    </row>
    <row r="40" spans="1:9">
      <c r="A40" s="215" t="s">
        <v>48</v>
      </c>
      <c r="B40" s="216">
        <f>B37-B38</f>
        <v>0</v>
      </c>
      <c r="C40" s="216">
        <f>C37-C38</f>
        <v>0</v>
      </c>
      <c r="D40" s="217">
        <f>D37-D38</f>
        <v>0</v>
      </c>
      <c r="E40" s="216">
        <f>E37-E38</f>
        <v>0</v>
      </c>
      <c r="G40" s="8" t="str">
        <f t="shared" si="0"/>
        <v/>
      </c>
      <c r="H40" s="8" t="str">
        <f t="shared" si="1"/>
        <v/>
      </c>
      <c r="I40" s="8" t="str">
        <f t="shared" si="2"/>
        <v/>
      </c>
    </row>
    <row r="41" spans="1:9">
      <c r="A41" s="215" t="s">
        <v>49</v>
      </c>
      <c r="B41" s="216">
        <f>B40+B31+B33</f>
        <v>0</v>
      </c>
      <c r="C41" s="216">
        <f>C40+C31+C33</f>
        <v>0</v>
      </c>
      <c r="D41" s="217">
        <f>D40+D31+D33</f>
        <v>0</v>
      </c>
      <c r="E41" s="216">
        <f>E40+E31+E33</f>
        <v>0</v>
      </c>
      <c r="G41" s="8" t="str">
        <f t="shared" si="0"/>
        <v/>
      </c>
      <c r="H41" s="8" t="str">
        <f t="shared" si="1"/>
        <v/>
      </c>
      <c r="I41" s="8" t="str">
        <f t="shared" si="2"/>
        <v/>
      </c>
    </row>
    <row r="42" spans="1:9">
      <c r="A42" s="215" t="s">
        <v>50</v>
      </c>
      <c r="B42" s="216">
        <f>B41+B34+B35</f>
        <v>0</v>
      </c>
      <c r="C42" s="216">
        <f>C41+C34+C35</f>
        <v>0</v>
      </c>
      <c r="D42" s="217">
        <f>D41+D34+D35</f>
        <v>0</v>
      </c>
      <c r="E42" s="216">
        <f>E41+E34+E35</f>
        <v>0</v>
      </c>
      <c r="G42" s="8" t="str">
        <f t="shared" si="0"/>
        <v/>
      </c>
      <c r="H42" s="8" t="str">
        <f t="shared" si="1"/>
        <v/>
      </c>
      <c r="I42" s="8" t="str">
        <f t="shared" si="2"/>
        <v/>
      </c>
    </row>
    <row r="43" spans="1:9">
      <c r="A43" s="213" t="s">
        <v>1639</v>
      </c>
      <c r="B43" s="214"/>
      <c r="C43" s="214"/>
      <c r="D43" s="214"/>
      <c r="E43" s="214"/>
      <c r="G43" s="8" t="str">
        <f t="shared" si="0"/>
        <v/>
      </c>
      <c r="H43" s="8" t="str">
        <f t="shared" si="1"/>
        <v/>
      </c>
      <c r="I43" s="8" t="str">
        <f t="shared" si="2"/>
        <v/>
      </c>
    </row>
    <row r="44" spans="1:9">
      <c r="A44" s="215" t="s">
        <v>1640</v>
      </c>
      <c r="B44" s="216">
        <f>B39-B43</f>
        <v>0</v>
      </c>
      <c r="C44" s="216">
        <f>C39-C43</f>
        <v>0</v>
      </c>
      <c r="D44" s="217">
        <f>D39-D43</f>
        <v>0</v>
      </c>
      <c r="E44" s="216">
        <f>E39-E43</f>
        <v>0</v>
      </c>
      <c r="G44" s="8" t="str">
        <f t="shared" si="0"/>
        <v/>
      </c>
      <c r="H44" s="8" t="str">
        <f t="shared" si="1"/>
        <v/>
      </c>
      <c r="I44" s="8" t="str">
        <f t="shared" si="2"/>
        <v/>
      </c>
    </row>
    <row r="45" spans="1:9">
      <c r="A45" s="203"/>
      <c r="B45" s="204"/>
      <c r="C45" s="204"/>
      <c r="D45" s="205"/>
      <c r="E45" s="205"/>
      <c r="G45" s="9"/>
      <c r="H45" s="9"/>
      <c r="I45" s="9"/>
    </row>
    <row r="46" spans="1:9">
      <c r="A46" s="212" t="s">
        <v>51</v>
      </c>
      <c r="B46" s="218" t="str">
        <f>B3</f>
        <v>Audited and Filed</v>
      </c>
      <c r="C46" s="218" t="str">
        <f t="shared" ref="C46:E47" si="5">C3</f>
        <v>Audited and Filed</v>
      </c>
      <c r="D46" s="218" t="str">
        <f t="shared" si="5"/>
        <v>Audited and Not Filed</v>
      </c>
      <c r="E46" s="218" t="str">
        <f t="shared" si="5"/>
        <v>Audited and Filed</v>
      </c>
      <c r="G46" s="670" t="s">
        <v>21</v>
      </c>
      <c r="H46" s="670"/>
      <c r="I46" s="670"/>
    </row>
    <row r="47" spans="1:9">
      <c r="A47" s="212" t="s">
        <v>52</v>
      </c>
      <c r="B47" s="211">
        <f>B4</f>
        <v>43555</v>
      </c>
      <c r="C47" s="211">
        <f t="shared" si="5"/>
        <v>43921</v>
      </c>
      <c r="D47" s="211">
        <f t="shared" si="5"/>
        <v>44286</v>
      </c>
      <c r="E47" s="211">
        <f t="shared" si="5"/>
        <v>44651</v>
      </c>
      <c r="G47" s="7">
        <f>G4</f>
        <v>43921</v>
      </c>
      <c r="H47" s="7">
        <f t="shared" ref="H47:I47" si="6">H4</f>
        <v>44286</v>
      </c>
      <c r="I47" s="7">
        <f t="shared" si="6"/>
        <v>44651</v>
      </c>
    </row>
    <row r="48" spans="1:9">
      <c r="A48" s="219" t="s">
        <v>1641</v>
      </c>
      <c r="B48" s="220"/>
      <c r="C48" s="214"/>
      <c r="D48" s="214"/>
      <c r="E48" s="220"/>
      <c r="G48" s="8" t="str">
        <f t="shared" ref="G48:G66" si="7">IF(OR(B48=0,C48=0),"",(C48-B48)/B48)</f>
        <v/>
      </c>
      <c r="H48" s="8" t="str">
        <f t="shared" ref="H48:H66" si="8">IF(OR(C48=0,D48=0),"",(D48-C48)/C48)</f>
        <v/>
      </c>
      <c r="I48" s="8" t="str">
        <f t="shared" ref="I48:I66" si="9">IF(OR(D48=0,E48=0),"",(E48-D48)/D48)</f>
        <v/>
      </c>
    </row>
    <row r="49" spans="1:9">
      <c r="A49" s="219" t="s">
        <v>1642</v>
      </c>
      <c r="B49" s="220"/>
      <c r="C49" s="214"/>
      <c r="D49" s="214"/>
      <c r="E49" s="220"/>
      <c r="G49" s="8" t="str">
        <f t="shared" si="7"/>
        <v/>
      </c>
      <c r="H49" s="8" t="str">
        <f t="shared" si="8"/>
        <v/>
      </c>
      <c r="I49" s="8" t="str">
        <f t="shared" si="9"/>
        <v/>
      </c>
    </row>
    <row r="50" spans="1:9">
      <c r="A50" s="219" t="s">
        <v>1643</v>
      </c>
      <c r="B50" s="220"/>
      <c r="C50" s="214"/>
      <c r="D50" s="214"/>
      <c r="E50" s="220"/>
      <c r="G50" s="8" t="str">
        <f t="shared" si="7"/>
        <v/>
      </c>
      <c r="H50" s="8" t="str">
        <f t="shared" si="8"/>
        <v/>
      </c>
      <c r="I50" s="8" t="str">
        <f t="shared" si="9"/>
        <v/>
      </c>
    </row>
    <row r="51" spans="1:9">
      <c r="A51" s="215" t="s">
        <v>53</v>
      </c>
      <c r="B51" s="216">
        <f>SUM(B48:B49)-B91</f>
        <v>0</v>
      </c>
      <c r="C51" s="216">
        <f>SUM(C48:C49)-C91</f>
        <v>0</v>
      </c>
      <c r="D51" s="217">
        <f>SUM(D48:D49)-D91</f>
        <v>0</v>
      </c>
      <c r="E51" s="216">
        <f>SUM(E48:E49)-E91</f>
        <v>0</v>
      </c>
      <c r="G51" s="8" t="str">
        <f t="shared" si="7"/>
        <v/>
      </c>
      <c r="H51" s="8" t="str">
        <f t="shared" si="8"/>
        <v/>
      </c>
      <c r="I51" s="8" t="str">
        <f t="shared" si="9"/>
        <v/>
      </c>
    </row>
    <row r="52" spans="1:9">
      <c r="A52" s="219" t="s">
        <v>54</v>
      </c>
      <c r="B52" s="220"/>
      <c r="C52" s="214"/>
      <c r="D52" s="214"/>
      <c r="E52" s="220"/>
      <c r="G52" s="8" t="str">
        <f t="shared" si="7"/>
        <v/>
      </c>
      <c r="H52" s="8" t="str">
        <f t="shared" si="8"/>
        <v/>
      </c>
      <c r="I52" s="8" t="str">
        <f t="shared" si="9"/>
        <v/>
      </c>
    </row>
    <row r="53" spans="1:9">
      <c r="A53" s="215" t="s">
        <v>55</v>
      </c>
      <c r="B53" s="216">
        <f>B51+B52-B77-B80-B88-B90</f>
        <v>0</v>
      </c>
      <c r="C53" s="216">
        <f>C51+C52-C77-C80-C88-C90</f>
        <v>0</v>
      </c>
      <c r="D53" s="217">
        <f>D51+D52-D77-D80-D88-D90</f>
        <v>0</v>
      </c>
      <c r="E53" s="216">
        <f>E51+E52-E77-E80-E88-E90</f>
        <v>0</v>
      </c>
      <c r="G53" s="8" t="str">
        <f t="shared" si="7"/>
        <v/>
      </c>
      <c r="H53" s="8" t="str">
        <f t="shared" si="8"/>
        <v/>
      </c>
      <c r="I53" s="8" t="str">
        <f t="shared" si="9"/>
        <v/>
      </c>
    </row>
    <row r="54" spans="1:9">
      <c r="A54" s="219" t="s">
        <v>56</v>
      </c>
      <c r="B54" s="220"/>
      <c r="C54" s="214"/>
      <c r="D54" s="214"/>
      <c r="E54" s="220"/>
      <c r="G54" s="8" t="str">
        <f t="shared" si="7"/>
        <v/>
      </c>
      <c r="H54" s="8" t="str">
        <f t="shared" si="8"/>
        <v/>
      </c>
      <c r="I54" s="8" t="str">
        <f t="shared" si="9"/>
        <v/>
      </c>
    </row>
    <row r="55" spans="1:9">
      <c r="A55" s="219" t="s">
        <v>57</v>
      </c>
      <c r="B55" s="220"/>
      <c r="C55" s="214"/>
      <c r="D55" s="214"/>
      <c r="E55" s="220"/>
      <c r="G55" s="8" t="str">
        <f t="shared" si="7"/>
        <v/>
      </c>
      <c r="H55" s="8" t="str">
        <f t="shared" si="8"/>
        <v/>
      </c>
      <c r="I55" s="8" t="str">
        <f t="shared" si="9"/>
        <v/>
      </c>
    </row>
    <row r="56" spans="1:9">
      <c r="A56" s="219" t="s">
        <v>58</v>
      </c>
      <c r="B56" s="220"/>
      <c r="C56" s="214"/>
      <c r="D56" s="214"/>
      <c r="E56" s="220"/>
      <c r="G56" s="8" t="str">
        <f t="shared" si="7"/>
        <v/>
      </c>
      <c r="H56" s="8" t="str">
        <f t="shared" si="8"/>
        <v/>
      </c>
      <c r="I56" s="8" t="str">
        <f t="shared" si="9"/>
        <v/>
      </c>
    </row>
    <row r="57" spans="1:9">
      <c r="A57" s="219" t="s">
        <v>59</v>
      </c>
      <c r="B57" s="220"/>
      <c r="C57" s="214"/>
      <c r="D57" s="214"/>
      <c r="E57" s="220"/>
      <c r="G57" s="8" t="str">
        <f t="shared" si="7"/>
        <v/>
      </c>
      <c r="H57" s="8" t="str">
        <f t="shared" si="8"/>
        <v/>
      </c>
      <c r="I57" s="8" t="str">
        <f t="shared" si="9"/>
        <v/>
      </c>
    </row>
    <row r="58" spans="1:9">
      <c r="A58" s="219" t="s">
        <v>1644</v>
      </c>
      <c r="B58" s="220"/>
      <c r="C58" s="214"/>
      <c r="D58" s="214"/>
      <c r="E58" s="220"/>
      <c r="G58" s="8" t="str">
        <f t="shared" si="7"/>
        <v/>
      </c>
      <c r="H58" s="8" t="str">
        <f t="shared" si="8"/>
        <v/>
      </c>
      <c r="I58" s="8" t="str">
        <f t="shared" si="9"/>
        <v/>
      </c>
    </row>
    <row r="59" spans="1:9">
      <c r="A59" s="215" t="s">
        <v>60</v>
      </c>
      <c r="B59" s="216">
        <f>SUM(B54:B58)+B62</f>
        <v>0</v>
      </c>
      <c r="C59" s="216">
        <f>SUM(C54:C58)+C62</f>
        <v>0</v>
      </c>
      <c r="D59" s="217">
        <f>SUM(D54:D58)+D62</f>
        <v>0</v>
      </c>
      <c r="E59" s="216">
        <f>SUM(E54:E58)+E62</f>
        <v>0</v>
      </c>
      <c r="G59" s="8" t="str">
        <f t="shared" si="7"/>
        <v/>
      </c>
      <c r="H59" s="8" t="str">
        <f t="shared" si="8"/>
        <v/>
      </c>
      <c r="I59" s="8" t="str">
        <f t="shared" si="9"/>
        <v/>
      </c>
    </row>
    <row r="60" spans="1:9">
      <c r="A60" s="215" t="s">
        <v>61</v>
      </c>
      <c r="B60" s="216">
        <f>SUM(B61:B64)+B54-B63</f>
        <v>0</v>
      </c>
      <c r="C60" s="216">
        <f>SUM(C61:C64)+C54-C63</f>
        <v>0</v>
      </c>
      <c r="D60" s="217">
        <f>SUM(D61:D64)+D54-D63</f>
        <v>0</v>
      </c>
      <c r="E60" s="216">
        <f>SUM(E61:E64)+E54-E63</f>
        <v>0</v>
      </c>
      <c r="G60" s="8" t="str">
        <f t="shared" si="7"/>
        <v/>
      </c>
      <c r="H60" s="8" t="str">
        <f t="shared" si="8"/>
        <v/>
      </c>
      <c r="I60" s="8" t="str">
        <f t="shared" si="9"/>
        <v/>
      </c>
    </row>
    <row r="61" spans="1:9">
      <c r="A61" s="219" t="s">
        <v>62</v>
      </c>
      <c r="B61" s="220"/>
      <c r="C61" s="214"/>
      <c r="D61" s="214"/>
      <c r="E61" s="220"/>
      <c r="G61" s="8" t="str">
        <f t="shared" si="7"/>
        <v/>
      </c>
      <c r="H61" s="8" t="str">
        <f t="shared" si="8"/>
        <v/>
      </c>
      <c r="I61" s="8" t="str">
        <f t="shared" si="9"/>
        <v/>
      </c>
    </row>
    <row r="62" spans="1:9">
      <c r="A62" s="219" t="s">
        <v>63</v>
      </c>
      <c r="B62" s="220"/>
      <c r="C62" s="214"/>
      <c r="D62" s="214"/>
      <c r="E62" s="220"/>
      <c r="G62" s="8" t="str">
        <f t="shared" si="7"/>
        <v/>
      </c>
      <c r="H62" s="8" t="str">
        <f t="shared" si="8"/>
        <v/>
      </c>
      <c r="I62" s="8" t="str">
        <f t="shared" si="9"/>
        <v/>
      </c>
    </row>
    <row r="63" spans="1:9">
      <c r="A63" s="219" t="s">
        <v>64</v>
      </c>
      <c r="B63" s="220"/>
      <c r="C63" s="214"/>
      <c r="D63" s="214"/>
      <c r="E63" s="220"/>
      <c r="G63" s="8" t="str">
        <f t="shared" si="7"/>
        <v/>
      </c>
      <c r="H63" s="8" t="str">
        <f t="shared" si="8"/>
        <v/>
      </c>
      <c r="I63" s="8" t="str">
        <f t="shared" si="9"/>
        <v/>
      </c>
    </row>
    <row r="64" spans="1:9">
      <c r="A64" s="219" t="s">
        <v>65</v>
      </c>
      <c r="B64" s="220"/>
      <c r="C64" s="214"/>
      <c r="D64" s="214"/>
      <c r="E64" s="220"/>
      <c r="G64" s="8" t="str">
        <f t="shared" si="7"/>
        <v/>
      </c>
      <c r="H64" s="8" t="str">
        <f t="shared" si="8"/>
        <v/>
      </c>
      <c r="I64" s="8" t="str">
        <f t="shared" si="9"/>
        <v/>
      </c>
    </row>
    <row r="65" spans="1:9">
      <c r="A65" s="215" t="s">
        <v>66</v>
      </c>
      <c r="B65" s="216">
        <f>B60+B59-B54-B62</f>
        <v>0</v>
      </c>
      <c r="C65" s="216">
        <f>C60+C59-C54-C62</f>
        <v>0</v>
      </c>
      <c r="D65" s="217">
        <f>D60+D59-D54-D62</f>
        <v>0</v>
      </c>
      <c r="E65" s="216">
        <f>E60+E59-E54-E62</f>
        <v>0</v>
      </c>
      <c r="G65" s="8" t="str">
        <f t="shared" si="7"/>
        <v/>
      </c>
      <c r="H65" s="8" t="str">
        <f t="shared" si="8"/>
        <v/>
      </c>
      <c r="I65" s="8" t="str">
        <f t="shared" si="9"/>
        <v/>
      </c>
    </row>
    <row r="66" spans="1:9">
      <c r="A66" s="215" t="s">
        <v>67</v>
      </c>
      <c r="B66" s="216">
        <f>B51+B59+B52+B60-B54-B62+B50+B63</f>
        <v>0</v>
      </c>
      <c r="C66" s="216">
        <f>C51+C59+C52+C60-C54-C62+C50+C63</f>
        <v>0</v>
      </c>
      <c r="D66" s="217">
        <f>D51+D59+D52+D60-D54-D62+D50+D63</f>
        <v>0</v>
      </c>
      <c r="E66" s="216">
        <f>E51+E59+E52+E60-E54-E62+E50+E63</f>
        <v>0</v>
      </c>
      <c r="G66" s="8" t="str">
        <f t="shared" si="7"/>
        <v/>
      </c>
      <c r="H66" s="8" t="str">
        <f t="shared" si="8"/>
        <v/>
      </c>
      <c r="I66" s="8" t="str">
        <f t="shared" si="9"/>
        <v/>
      </c>
    </row>
    <row r="67" spans="1:9">
      <c r="A67" s="201"/>
      <c r="B67" s="202"/>
      <c r="C67" s="202"/>
      <c r="D67" s="202"/>
      <c r="E67" s="202"/>
      <c r="G67" s="9"/>
      <c r="H67" s="9"/>
      <c r="I67" s="9"/>
    </row>
    <row r="68" spans="1:9">
      <c r="A68" s="212" t="s">
        <v>1645</v>
      </c>
      <c r="B68" s="211">
        <f>B47</f>
        <v>43555</v>
      </c>
      <c r="C68" s="211">
        <f>C47</f>
        <v>43921</v>
      </c>
      <c r="D68" s="211">
        <f>D47</f>
        <v>44286</v>
      </c>
      <c r="E68" s="211">
        <f>E47</f>
        <v>44651</v>
      </c>
      <c r="G68" s="7">
        <f>G47</f>
        <v>43921</v>
      </c>
      <c r="H68" s="7">
        <f>H47</f>
        <v>44286</v>
      </c>
      <c r="I68" s="7">
        <f>I47</f>
        <v>44651</v>
      </c>
    </row>
    <row r="69" spans="1:9">
      <c r="A69" s="219" t="s">
        <v>68</v>
      </c>
      <c r="B69" s="220"/>
      <c r="C69" s="214"/>
      <c r="D69" s="214"/>
      <c r="E69" s="220"/>
      <c r="G69" s="8" t="str">
        <f t="shared" ref="G69:G92" si="10">IF(OR(B69=0,C69=0),"",(C69-B69)/B69)</f>
        <v/>
      </c>
      <c r="H69" s="8" t="str">
        <f t="shared" ref="H69:H92" si="11">IF(OR(C69=0,D69=0),"",(D69-C69)/C69)</f>
        <v/>
      </c>
      <c r="I69" s="8" t="str">
        <f t="shared" ref="I69:I92" si="12">IF(OR(D69=0,E69=0),"",(E69-D69)/D69)</f>
        <v/>
      </c>
    </row>
    <row r="70" spans="1:9">
      <c r="A70" s="219" t="s">
        <v>69</v>
      </c>
      <c r="B70" s="220"/>
      <c r="C70" s="214"/>
      <c r="D70" s="214"/>
      <c r="E70" s="220"/>
      <c r="G70" s="8" t="str">
        <f t="shared" si="10"/>
        <v/>
      </c>
      <c r="H70" s="8" t="str">
        <f t="shared" si="11"/>
        <v/>
      </c>
      <c r="I70" s="8" t="str">
        <f t="shared" si="12"/>
        <v/>
      </c>
    </row>
    <row r="71" spans="1:9">
      <c r="A71" s="219" t="s">
        <v>70</v>
      </c>
      <c r="B71" s="220"/>
      <c r="C71" s="214"/>
      <c r="D71" s="214"/>
      <c r="E71" s="220"/>
      <c r="G71" s="8" t="str">
        <f t="shared" si="10"/>
        <v/>
      </c>
      <c r="H71" s="8" t="str">
        <f t="shared" si="11"/>
        <v/>
      </c>
      <c r="I71" s="8" t="str">
        <f t="shared" si="12"/>
        <v/>
      </c>
    </row>
    <row r="72" spans="1:9">
      <c r="A72" s="219" t="s">
        <v>1646</v>
      </c>
      <c r="B72" s="220"/>
      <c r="C72" s="214"/>
      <c r="D72" s="214"/>
      <c r="E72" s="220"/>
      <c r="G72" s="8" t="str">
        <f t="shared" si="10"/>
        <v/>
      </c>
      <c r="H72" s="8" t="str">
        <f t="shared" si="11"/>
        <v/>
      </c>
      <c r="I72" s="8" t="str">
        <f t="shared" si="12"/>
        <v/>
      </c>
    </row>
    <row r="73" spans="1:9">
      <c r="A73" s="219" t="s">
        <v>1643</v>
      </c>
      <c r="B73" s="220"/>
      <c r="C73" s="214"/>
      <c r="D73" s="214"/>
      <c r="E73" s="220"/>
      <c r="G73" s="8" t="str">
        <f t="shared" si="10"/>
        <v/>
      </c>
      <c r="H73" s="8" t="str">
        <f t="shared" si="11"/>
        <v/>
      </c>
      <c r="I73" s="8" t="str">
        <f t="shared" si="12"/>
        <v/>
      </c>
    </row>
    <row r="74" spans="1:9">
      <c r="A74" s="215" t="s">
        <v>1647</v>
      </c>
      <c r="B74" s="216">
        <f>B69+B70-B71-B73+B72</f>
        <v>0</v>
      </c>
      <c r="C74" s="216">
        <f>C69+C70-C71-C73+C72</f>
        <v>0</v>
      </c>
      <c r="D74" s="217">
        <f>D69+D70-D71-D73+D72</f>
        <v>0</v>
      </c>
      <c r="E74" s="216">
        <f>E69+E70-E71-E73+E72</f>
        <v>0</v>
      </c>
      <c r="G74" s="8" t="str">
        <f t="shared" si="10"/>
        <v/>
      </c>
      <c r="H74" s="8" t="str">
        <f t="shared" si="11"/>
        <v/>
      </c>
      <c r="I74" s="8" t="str">
        <f t="shared" si="12"/>
        <v/>
      </c>
    </row>
    <row r="75" spans="1:9">
      <c r="A75" s="215" t="s">
        <v>71</v>
      </c>
      <c r="B75" s="216">
        <f>SUM(B76:B77)</f>
        <v>0</v>
      </c>
      <c r="C75" s="216">
        <f>SUM(C76:C77)</f>
        <v>0</v>
      </c>
      <c r="D75" s="217">
        <f>SUM(D76:D77)</f>
        <v>0</v>
      </c>
      <c r="E75" s="216">
        <f>SUM(E76:E77)</f>
        <v>0</v>
      </c>
      <c r="G75" s="8" t="str">
        <f t="shared" si="10"/>
        <v/>
      </c>
      <c r="H75" s="8" t="str">
        <f t="shared" si="11"/>
        <v/>
      </c>
      <c r="I75" s="8" t="str">
        <f t="shared" si="12"/>
        <v/>
      </c>
    </row>
    <row r="76" spans="1:9">
      <c r="A76" s="219" t="s">
        <v>72</v>
      </c>
      <c r="B76" s="220"/>
      <c r="C76" s="214"/>
      <c r="D76" s="214"/>
      <c r="E76" s="220"/>
      <c r="G76" s="8" t="str">
        <f t="shared" si="10"/>
        <v/>
      </c>
      <c r="H76" s="8" t="str">
        <f t="shared" si="11"/>
        <v/>
      </c>
      <c r="I76" s="8" t="str">
        <f t="shared" si="12"/>
        <v/>
      </c>
    </row>
    <row r="77" spans="1:9">
      <c r="A77" s="219" t="s">
        <v>73</v>
      </c>
      <c r="B77" s="220"/>
      <c r="C77" s="214"/>
      <c r="D77" s="214"/>
      <c r="E77" s="220"/>
      <c r="G77" s="8" t="str">
        <f t="shared" si="10"/>
        <v/>
      </c>
      <c r="H77" s="8" t="str">
        <f t="shared" si="11"/>
        <v/>
      </c>
      <c r="I77" s="8" t="str">
        <f t="shared" si="12"/>
        <v/>
      </c>
    </row>
    <row r="78" spans="1:9">
      <c r="A78" s="215" t="s">
        <v>74</v>
      </c>
      <c r="B78" s="216">
        <f>SUM(B79:B84)-B80-B83+B87</f>
        <v>0</v>
      </c>
      <c r="C78" s="216">
        <f>SUM(C79:C84)-C80-C83+C87</f>
        <v>0</v>
      </c>
      <c r="D78" s="217">
        <f>SUM(D79:D84)-D80-D83+D87</f>
        <v>0</v>
      </c>
      <c r="E78" s="216">
        <f>SUM(E79:E84)-E80-E83+E87</f>
        <v>0</v>
      </c>
      <c r="G78" s="8" t="str">
        <f t="shared" si="10"/>
        <v/>
      </c>
      <c r="H78" s="8" t="str">
        <f t="shared" si="11"/>
        <v/>
      </c>
      <c r="I78" s="8" t="str">
        <f t="shared" si="12"/>
        <v/>
      </c>
    </row>
    <row r="79" spans="1:9">
      <c r="A79" s="219" t="s">
        <v>75</v>
      </c>
      <c r="B79" s="220"/>
      <c r="C79" s="214"/>
      <c r="D79" s="214"/>
      <c r="E79" s="220"/>
      <c r="G79" s="8" t="str">
        <f t="shared" si="10"/>
        <v/>
      </c>
      <c r="H79" s="8" t="str">
        <f t="shared" si="11"/>
        <v/>
      </c>
      <c r="I79" s="8" t="str">
        <f t="shared" si="12"/>
        <v/>
      </c>
    </row>
    <row r="80" spans="1:9">
      <c r="A80" s="219" t="s">
        <v>76</v>
      </c>
      <c r="B80" s="220"/>
      <c r="C80" s="214"/>
      <c r="D80" s="214"/>
      <c r="E80" s="220"/>
      <c r="G80" s="8" t="str">
        <f t="shared" si="10"/>
        <v/>
      </c>
      <c r="H80" s="8" t="str">
        <f t="shared" si="11"/>
        <v/>
      </c>
      <c r="I80" s="8" t="str">
        <f t="shared" si="12"/>
        <v/>
      </c>
    </row>
    <row r="81" spans="1:9">
      <c r="A81" s="219" t="s">
        <v>77</v>
      </c>
      <c r="B81" s="220"/>
      <c r="C81" s="214"/>
      <c r="D81" s="214"/>
      <c r="E81" s="220"/>
      <c r="G81" s="8" t="str">
        <f t="shared" si="10"/>
        <v/>
      </c>
      <c r="H81" s="8" t="str">
        <f t="shared" si="11"/>
        <v/>
      </c>
      <c r="I81" s="8" t="str">
        <f t="shared" si="12"/>
        <v/>
      </c>
    </row>
    <row r="82" spans="1:9">
      <c r="A82" s="219" t="s">
        <v>78</v>
      </c>
      <c r="B82" s="220"/>
      <c r="C82" s="214"/>
      <c r="D82" s="214"/>
      <c r="E82" s="220"/>
      <c r="G82" s="8" t="str">
        <f t="shared" si="10"/>
        <v/>
      </c>
      <c r="H82" s="8" t="str">
        <f t="shared" si="11"/>
        <v/>
      </c>
      <c r="I82" s="8" t="str">
        <f t="shared" si="12"/>
        <v/>
      </c>
    </row>
    <row r="83" spans="1:9">
      <c r="A83" s="219" t="s">
        <v>79</v>
      </c>
      <c r="B83" s="220"/>
      <c r="C83" s="214"/>
      <c r="D83" s="214"/>
      <c r="E83" s="220"/>
      <c r="G83" s="8" t="str">
        <f t="shared" si="10"/>
        <v/>
      </c>
      <c r="H83" s="8" t="str">
        <f t="shared" si="11"/>
        <v/>
      </c>
      <c r="I83" s="8" t="str">
        <f t="shared" si="12"/>
        <v/>
      </c>
    </row>
    <row r="84" spans="1:9">
      <c r="A84" s="219" t="s">
        <v>80</v>
      </c>
      <c r="B84" s="220"/>
      <c r="C84" s="214"/>
      <c r="D84" s="214"/>
      <c r="E84" s="220"/>
      <c r="G84" s="8" t="str">
        <f t="shared" si="10"/>
        <v/>
      </c>
      <c r="H84" s="8" t="str">
        <f t="shared" si="11"/>
        <v/>
      </c>
      <c r="I84" s="8" t="str">
        <f t="shared" si="12"/>
        <v/>
      </c>
    </row>
    <row r="85" spans="1:9">
      <c r="A85" s="215" t="s">
        <v>81</v>
      </c>
      <c r="B85" s="216">
        <f>SUM(B86:B88)</f>
        <v>0</v>
      </c>
      <c r="C85" s="216">
        <f>SUM(C86:C88)</f>
        <v>0</v>
      </c>
      <c r="D85" s="217">
        <f>SUM(D86:D88)</f>
        <v>0</v>
      </c>
      <c r="E85" s="216">
        <f>SUM(E86:E88)</f>
        <v>0</v>
      </c>
      <c r="G85" s="8" t="str">
        <f t="shared" si="10"/>
        <v/>
      </c>
      <c r="H85" s="8" t="str">
        <f t="shared" si="11"/>
        <v/>
      </c>
      <c r="I85" s="8" t="str">
        <f t="shared" si="12"/>
        <v/>
      </c>
    </row>
    <row r="86" spans="1:9">
      <c r="A86" s="219" t="s">
        <v>1648</v>
      </c>
      <c r="B86" s="220"/>
      <c r="C86" s="214"/>
      <c r="D86" s="214"/>
      <c r="E86" s="220"/>
      <c r="G86" s="8" t="str">
        <f t="shared" si="10"/>
        <v/>
      </c>
      <c r="H86" s="8" t="str">
        <f t="shared" si="11"/>
        <v/>
      </c>
      <c r="I86" s="8" t="str">
        <f t="shared" si="12"/>
        <v/>
      </c>
    </row>
    <row r="87" spans="1:9">
      <c r="A87" s="219" t="s">
        <v>1649</v>
      </c>
      <c r="B87" s="220"/>
      <c r="C87" s="214"/>
      <c r="D87" s="214"/>
      <c r="E87" s="220"/>
      <c r="G87" s="8" t="str">
        <f t="shared" si="10"/>
        <v/>
      </c>
      <c r="H87" s="8" t="str">
        <f t="shared" si="11"/>
        <v/>
      </c>
      <c r="I87" s="8" t="str">
        <f t="shared" si="12"/>
        <v/>
      </c>
    </row>
    <row r="88" spans="1:9">
      <c r="A88" s="219" t="s">
        <v>82</v>
      </c>
      <c r="B88" s="220"/>
      <c r="C88" s="214"/>
      <c r="D88" s="214"/>
      <c r="E88" s="220"/>
      <c r="G88" s="8" t="str">
        <f t="shared" si="10"/>
        <v/>
      </c>
      <c r="H88" s="8" t="str">
        <f t="shared" si="11"/>
        <v/>
      </c>
      <c r="I88" s="8" t="str">
        <f t="shared" si="12"/>
        <v/>
      </c>
    </row>
    <row r="89" spans="1:9">
      <c r="A89" s="219" t="s">
        <v>1650</v>
      </c>
      <c r="B89" s="220"/>
      <c r="C89" s="214"/>
      <c r="D89" s="214"/>
      <c r="E89" s="220"/>
      <c r="G89" s="8" t="str">
        <f t="shared" si="10"/>
        <v/>
      </c>
      <c r="H89" s="8" t="str">
        <f t="shared" si="11"/>
        <v/>
      </c>
      <c r="I89" s="8" t="str">
        <f t="shared" si="12"/>
        <v/>
      </c>
    </row>
    <row r="90" spans="1:9">
      <c r="A90" s="219" t="s">
        <v>83</v>
      </c>
      <c r="B90" s="220"/>
      <c r="C90" s="214"/>
      <c r="D90" s="214"/>
      <c r="E90" s="220"/>
      <c r="G90" s="8" t="str">
        <f t="shared" si="10"/>
        <v/>
      </c>
      <c r="H90" s="8" t="str">
        <f t="shared" si="11"/>
        <v/>
      </c>
      <c r="I90" s="8" t="str">
        <f t="shared" si="12"/>
        <v/>
      </c>
    </row>
    <row r="91" spans="1:9">
      <c r="A91" s="219" t="s">
        <v>1651</v>
      </c>
      <c r="B91" s="220"/>
      <c r="C91" s="214"/>
      <c r="D91" s="214"/>
      <c r="E91" s="220"/>
      <c r="G91" s="8" t="str">
        <f t="shared" si="10"/>
        <v/>
      </c>
      <c r="H91" s="8" t="str">
        <f t="shared" si="11"/>
        <v/>
      </c>
      <c r="I91" s="8" t="str">
        <f t="shared" si="12"/>
        <v/>
      </c>
    </row>
    <row r="92" spans="1:9">
      <c r="A92" s="215" t="s">
        <v>84</v>
      </c>
      <c r="B92" s="216">
        <f>B74+B75+B78+B85+B83+B90-B87+B80+B89</f>
        <v>0</v>
      </c>
      <c r="C92" s="216">
        <f>C74+C75+C78+C85+C83+C90-C87+C80+C89</f>
        <v>0</v>
      </c>
      <c r="D92" s="217">
        <f>D74+D75+D78+D85+D83+D90-D87+D80+D89</f>
        <v>0</v>
      </c>
      <c r="E92" s="216">
        <f>E74+E75+E78+E85+E83+E90-E87+E80+E89</f>
        <v>0</v>
      </c>
      <c r="G92" s="8" t="str">
        <f t="shared" si="10"/>
        <v/>
      </c>
      <c r="H92" s="8" t="str">
        <f t="shared" si="11"/>
        <v/>
      </c>
      <c r="I92" s="8" t="str">
        <f t="shared" si="12"/>
        <v/>
      </c>
    </row>
    <row r="93" spans="1:9">
      <c r="A93" s="221" t="s">
        <v>85</v>
      </c>
      <c r="B93" s="222">
        <f>B66-B92</f>
        <v>0</v>
      </c>
      <c r="C93" s="222">
        <f>C66-C92</f>
        <v>0</v>
      </c>
      <c r="D93" s="223">
        <f>D66-D92</f>
        <v>0</v>
      </c>
      <c r="E93" s="222">
        <f>E66-E92</f>
        <v>0</v>
      </c>
      <c r="G93" s="671"/>
      <c r="H93" s="672"/>
      <c r="I93" s="673"/>
    </row>
    <row r="94" spans="1:9">
      <c r="A94" s="203"/>
      <c r="B94" s="206"/>
      <c r="C94" s="206"/>
      <c r="D94" s="207"/>
      <c r="E94" s="207"/>
    </row>
    <row r="95" spans="1:9">
      <c r="A95" s="212" t="s">
        <v>86</v>
      </c>
      <c r="B95" s="211" t="str">
        <f>B46</f>
        <v>Audited and Filed</v>
      </c>
      <c r="C95" s="211" t="str">
        <f>C46</f>
        <v>Audited and Filed</v>
      </c>
      <c r="D95" s="211" t="str">
        <f>D46</f>
        <v>Audited and Not Filed</v>
      </c>
      <c r="E95" s="211" t="str">
        <f>E46</f>
        <v>Audited and Filed</v>
      </c>
      <c r="G95" s="674" t="s">
        <v>87</v>
      </c>
      <c r="H95" s="674"/>
      <c r="I95" s="674"/>
    </row>
    <row r="96" spans="1:9">
      <c r="A96" s="224" t="s">
        <v>88</v>
      </c>
      <c r="B96" s="228"/>
      <c r="C96" s="228">
        <f>IFERROR((C5-B5)/B5,0)</f>
        <v>0</v>
      </c>
      <c r="D96" s="228">
        <f>IFERROR((D5-C5)/C5,0)</f>
        <v>0</v>
      </c>
      <c r="E96" s="228">
        <f>IFERROR((E5-D5)/D5,0)</f>
        <v>0</v>
      </c>
      <c r="G96" s="665"/>
      <c r="H96" s="665"/>
      <c r="I96" s="665"/>
    </row>
    <row r="97" spans="1:9">
      <c r="A97" s="224" t="s">
        <v>89</v>
      </c>
      <c r="B97" s="228">
        <f>IFERROR(B40/(B5+B6),0)</f>
        <v>0</v>
      </c>
      <c r="C97" s="228">
        <f>IFERROR(C40/(C5+C6),0)</f>
        <v>0</v>
      </c>
      <c r="D97" s="228">
        <f>IFERROR(D40/(D5+D6),0)</f>
        <v>0</v>
      </c>
      <c r="E97" s="228">
        <f>IFERROR(E40/(E5+E6),0)</f>
        <v>0</v>
      </c>
      <c r="G97" s="665"/>
      <c r="H97" s="665"/>
      <c r="I97" s="665"/>
    </row>
    <row r="98" spans="1:9">
      <c r="A98" s="224" t="s">
        <v>90</v>
      </c>
      <c r="B98" s="228">
        <f>IFERROR(B42/(B5+B6),0)</f>
        <v>0</v>
      </c>
      <c r="C98" s="228">
        <f>IFERROR(C42/(C5+C6),0)</f>
        <v>0</v>
      </c>
      <c r="D98" s="228">
        <f>IFERROR(D42/(D5+D6),0)</f>
        <v>0</v>
      </c>
      <c r="E98" s="228">
        <f>IFERROR(E42/(E5+E6),0)</f>
        <v>0</v>
      </c>
      <c r="G98" s="665"/>
      <c r="H98" s="665"/>
      <c r="I98" s="665"/>
    </row>
    <row r="99" spans="1:9">
      <c r="A99" s="224" t="s">
        <v>1652</v>
      </c>
      <c r="B99" s="228">
        <f>IFERROR(B23/(B5+B6),0)</f>
        <v>0</v>
      </c>
      <c r="C99" s="228">
        <f>IFERROR(C23/(C5+C6),0)</f>
        <v>0</v>
      </c>
      <c r="D99" s="228">
        <f>IFERROR(D23/(D5+D6),0)</f>
        <v>0</v>
      </c>
      <c r="E99" s="228">
        <f>IFERROR(E23/(E5+E6),0)</f>
        <v>0</v>
      </c>
      <c r="G99" s="665"/>
      <c r="H99" s="665"/>
      <c r="I99" s="665"/>
    </row>
    <row r="100" spans="1:9">
      <c r="A100" s="224" t="s">
        <v>1653</v>
      </c>
      <c r="B100" s="228">
        <f>IFERROR(B29/(B5+B6),0)</f>
        <v>0</v>
      </c>
      <c r="C100" s="228">
        <f>IFERROR(C29/(C5+C6),0)</f>
        <v>0</v>
      </c>
      <c r="D100" s="228">
        <f>IFERROR(D29/(D5+D6),0)</f>
        <v>0</v>
      </c>
      <c r="E100" s="228">
        <f>IFERROR(E29/(E5+E6),0)</f>
        <v>0</v>
      </c>
      <c r="G100" s="665"/>
      <c r="H100" s="665"/>
      <c r="I100" s="665"/>
    </row>
    <row r="101" spans="1:9">
      <c r="A101" s="224" t="s">
        <v>91</v>
      </c>
      <c r="B101" s="225">
        <f>IFERROR((B59-B54-B58+B62)/B53,0)</f>
        <v>0</v>
      </c>
      <c r="C101" s="225">
        <f t="shared" ref="C101:E101" si="13">IFERROR((C59-C54-C58+C62)/C53,0)</f>
        <v>0</v>
      </c>
      <c r="D101" s="225">
        <f t="shared" si="13"/>
        <v>0</v>
      </c>
      <c r="E101" s="225">
        <f t="shared" si="13"/>
        <v>0</v>
      </c>
      <c r="G101" s="665"/>
      <c r="H101" s="665"/>
      <c r="I101" s="665"/>
    </row>
    <row r="102" spans="1:9">
      <c r="A102" s="224" t="s">
        <v>92</v>
      </c>
      <c r="B102" s="225">
        <f>IFERROR(B65/B53,0)</f>
        <v>0</v>
      </c>
      <c r="C102" s="225">
        <f>IFERROR(C65/C53,0)</f>
        <v>0</v>
      </c>
      <c r="D102" s="225">
        <f>IFERROR(D65/D53,0)</f>
        <v>0</v>
      </c>
      <c r="E102" s="225">
        <f>IFERROR(E65/E53,0)</f>
        <v>0</v>
      </c>
      <c r="G102" s="665"/>
      <c r="H102" s="665"/>
      <c r="I102" s="665"/>
    </row>
    <row r="103" spans="1:9">
      <c r="A103" s="224" t="s">
        <v>93</v>
      </c>
      <c r="B103" s="225">
        <f>IFERROR(B29/(B25+B26+B27),0)</f>
        <v>0</v>
      </c>
      <c r="C103" s="225">
        <f>IFERROR(C29/(C25+C26+C27),0)</f>
        <v>0</v>
      </c>
      <c r="D103" s="225">
        <f>IFERROR(D29/(D25+D26+D27),0)</f>
        <v>0</v>
      </c>
      <c r="E103" s="225">
        <f>IFERROR(E29/(E25+E26+E27),0)</f>
        <v>0</v>
      </c>
      <c r="G103" s="665"/>
      <c r="H103" s="665"/>
      <c r="I103" s="665"/>
    </row>
    <row r="104" spans="1:9">
      <c r="A104" s="224" t="s">
        <v>94</v>
      </c>
      <c r="B104" s="225">
        <f>IFERROR((B80+B81)/(B5)*365,0)</f>
        <v>0</v>
      </c>
      <c r="C104" s="225">
        <f>IFERROR((C80+C81)/(C5)*365,0)</f>
        <v>0</v>
      </c>
      <c r="D104" s="225">
        <f>IFERROR((D80+D81)/(D5)*365,0)</f>
        <v>0</v>
      </c>
      <c r="E104" s="225">
        <f>IFERROR((E80+E81)/(E5)*365,0)</f>
        <v>0</v>
      </c>
      <c r="G104" s="665"/>
      <c r="H104" s="665"/>
      <c r="I104" s="665"/>
    </row>
    <row r="105" spans="1:9">
      <c r="A105" s="224" t="s">
        <v>95</v>
      </c>
      <c r="B105" s="225">
        <f>IFERROR(IF(B9=0,0,B79/B9*365),0)</f>
        <v>0</v>
      </c>
      <c r="C105" s="225">
        <f>IFERROR(IF(C9=0,0,C79/C9*365),0)</f>
        <v>0</v>
      </c>
      <c r="D105" s="225">
        <f>IFERROR(IF(D9=0,0,D79/D9*365),0)</f>
        <v>0</v>
      </c>
      <c r="E105" s="225">
        <f>IFERROR(IF(E9=0,0,E79/E9*365),0)</f>
        <v>0</v>
      </c>
      <c r="G105" s="665"/>
      <c r="H105" s="665"/>
      <c r="I105" s="665"/>
    </row>
    <row r="106" spans="1:9">
      <c r="A106" s="224" t="s">
        <v>96</v>
      </c>
      <c r="B106" s="225">
        <f>IFERROR(IF(B9=0,0,B61/B11*365),0)</f>
        <v>0</v>
      </c>
      <c r="C106" s="225">
        <f>IFERROR(IF(C9=0,0,C61/C11*365),0)</f>
        <v>0</v>
      </c>
      <c r="D106" s="225">
        <f>IFERROR(IF(D9=0,0,D61/D11*365),0)</f>
        <v>0</v>
      </c>
      <c r="E106" s="225">
        <f>IFERROR(IF(E9=0,0,E61/E11*365),0)</f>
        <v>0</v>
      </c>
      <c r="G106" s="665"/>
      <c r="H106" s="665"/>
      <c r="I106" s="665"/>
    </row>
    <row r="107" spans="1:9">
      <c r="A107" s="224" t="s">
        <v>97</v>
      </c>
      <c r="B107" s="225">
        <f>IFERROR(B104+B105-B106,0)</f>
        <v>0</v>
      </c>
      <c r="C107" s="225">
        <f>IFERROR(C104+C105-C106,0)</f>
        <v>0</v>
      </c>
      <c r="D107" s="225">
        <f>IFERROR(D104+D105-D106,0)</f>
        <v>0</v>
      </c>
      <c r="E107" s="225">
        <f>IFERROR(E104+E105-E106,0)</f>
        <v>0</v>
      </c>
      <c r="G107" s="665"/>
      <c r="H107" s="665"/>
      <c r="I107" s="665"/>
    </row>
    <row r="108" spans="1:9">
      <c r="A108" s="224" t="s">
        <v>1654</v>
      </c>
      <c r="B108" s="225">
        <f>IFERROR(B78-B60,0)</f>
        <v>0</v>
      </c>
      <c r="C108" s="225">
        <f>IFERROR(C78-C60,0)</f>
        <v>0</v>
      </c>
      <c r="D108" s="225">
        <f>IFERROR(D78-D60,0)</f>
        <v>0</v>
      </c>
      <c r="E108" s="225">
        <f>IFERROR(E78-E60,0)</f>
        <v>0</v>
      </c>
      <c r="G108" s="665"/>
      <c r="H108" s="665"/>
      <c r="I108" s="665"/>
    </row>
    <row r="109" spans="1:9">
      <c r="A109" s="224" t="s">
        <v>98</v>
      </c>
      <c r="B109" s="225">
        <f>IFERROR((B78-B84-B83+B86)/B60,0)</f>
        <v>0</v>
      </c>
      <c r="C109" s="225">
        <f>IFERROR((C78-C84-C83+C86)/C60,0)</f>
        <v>0</v>
      </c>
      <c r="D109" s="225">
        <f>IFERROR((D78-D84-D83+D86)/D60,0)</f>
        <v>0</v>
      </c>
      <c r="E109" s="225">
        <f>IFERROR((E78-E84-E83+E86)/E60,0)</f>
        <v>0</v>
      </c>
      <c r="G109" s="665"/>
      <c r="H109" s="665"/>
      <c r="I109" s="665"/>
    </row>
    <row r="110" spans="1:9">
      <c r="A110" s="224" t="s">
        <v>1655</v>
      </c>
      <c r="B110" s="225">
        <f>IFERROR((B78-B84-B83+B86+B80)/B60,0)</f>
        <v>0</v>
      </c>
      <c r="C110" s="225">
        <f>IFERROR((C78-C84-C83+C86+C80)/C60,0)</f>
        <v>0</v>
      </c>
      <c r="D110" s="225">
        <f>IFERROR((D78-D84-D83+D86+D80)/D60,0)</f>
        <v>0</v>
      </c>
      <c r="E110" s="225">
        <f>IFERROR((E78-E84-E83+E86+E80)/E60,0)</f>
        <v>0</v>
      </c>
      <c r="G110" s="665"/>
      <c r="H110" s="665"/>
      <c r="I110" s="665"/>
    </row>
    <row r="111" spans="1:9">
      <c r="A111" s="224" t="s">
        <v>1656</v>
      </c>
      <c r="B111" s="225">
        <f>IFERROR((B59-B54-B58+B62)/B23,0)</f>
        <v>0</v>
      </c>
      <c r="C111" s="225">
        <f t="shared" ref="C111:E111" si="14">IFERROR((C59-C54-C58+C62)/C23,0)</f>
        <v>0</v>
      </c>
      <c r="D111" s="225">
        <f t="shared" si="14"/>
        <v>0</v>
      </c>
      <c r="E111" s="225">
        <f t="shared" si="14"/>
        <v>0</v>
      </c>
      <c r="G111" s="665"/>
      <c r="H111" s="665"/>
      <c r="I111" s="665"/>
    </row>
    <row r="112" spans="1:9">
      <c r="A112" s="224" t="s">
        <v>99</v>
      </c>
      <c r="B112" s="225">
        <f>IFERROR(ROUNDUP(B59/B53,2),0)</f>
        <v>0</v>
      </c>
      <c r="C112" s="225">
        <f t="shared" ref="C112:E112" si="15">IFERROR(ROUNDUP(C59/C53,2),0)</f>
        <v>0</v>
      </c>
      <c r="D112" s="225">
        <f t="shared" si="15"/>
        <v>0</v>
      </c>
      <c r="E112" s="225">
        <f t="shared" si="15"/>
        <v>0</v>
      </c>
      <c r="G112" s="665"/>
      <c r="H112" s="665"/>
      <c r="I112" s="665"/>
    </row>
    <row r="113" spans="1:9">
      <c r="A113" s="224" t="s">
        <v>1657</v>
      </c>
      <c r="B113" s="225">
        <f>IFERROR((B23-B38)/(B24+B62),0)</f>
        <v>0</v>
      </c>
      <c r="C113" s="225">
        <f t="shared" ref="C113:E113" si="16">IFERROR((C23-C38)/(C24+C62),0)</f>
        <v>0</v>
      </c>
      <c r="D113" s="225">
        <f t="shared" si="16"/>
        <v>0</v>
      </c>
      <c r="E113" s="225">
        <f t="shared" si="16"/>
        <v>0</v>
      </c>
      <c r="G113" s="665"/>
      <c r="H113" s="665"/>
      <c r="I113" s="665"/>
    </row>
    <row r="114" spans="1:9">
      <c r="A114" s="208"/>
      <c r="B114" s="209"/>
      <c r="C114" s="209"/>
      <c r="D114" s="210"/>
      <c r="E114" s="210"/>
    </row>
    <row r="115" spans="1:9">
      <c r="A115" s="212" t="s">
        <v>100</v>
      </c>
      <c r="B115" s="211" t="str">
        <f>B95</f>
        <v>Audited and Filed</v>
      </c>
      <c r="C115" s="211" t="str">
        <f>C95</f>
        <v>Audited and Filed</v>
      </c>
      <c r="D115" s="211" t="str">
        <f>D95</f>
        <v>Audited and Not Filed</v>
      </c>
      <c r="E115" s="211" t="str">
        <f>E95</f>
        <v>Audited and Filed</v>
      </c>
    </row>
    <row r="116" spans="1:9">
      <c r="A116" s="224" t="s">
        <v>101</v>
      </c>
      <c r="B116" s="662"/>
      <c r="C116" s="226"/>
      <c r="D116" s="227"/>
      <c r="E116" s="226"/>
    </row>
    <row r="117" spans="1:9">
      <c r="A117" s="224" t="s">
        <v>102</v>
      </c>
      <c r="B117" s="663"/>
      <c r="C117" s="226">
        <f>C40</f>
        <v>0</v>
      </c>
      <c r="D117" s="227">
        <f>D40</f>
        <v>0</v>
      </c>
      <c r="E117" s="226">
        <f>E40</f>
        <v>0</v>
      </c>
    </row>
    <row r="118" spans="1:9">
      <c r="A118" s="224" t="s">
        <v>103</v>
      </c>
      <c r="B118" s="663"/>
      <c r="C118" s="226">
        <f>C31</f>
        <v>0</v>
      </c>
      <c r="D118" s="227">
        <f>D31</f>
        <v>0</v>
      </c>
      <c r="E118" s="226">
        <f>E31</f>
        <v>0</v>
      </c>
    </row>
    <row r="119" spans="1:9">
      <c r="A119" s="224" t="s">
        <v>1658</v>
      </c>
      <c r="B119" s="663"/>
      <c r="C119" s="226">
        <f>C71-B71-C31</f>
        <v>0</v>
      </c>
      <c r="D119" s="227">
        <f>D71-C71-D31</f>
        <v>0</v>
      </c>
      <c r="E119" s="226">
        <f>E71-D71-E31</f>
        <v>0</v>
      </c>
    </row>
    <row r="120" spans="1:9">
      <c r="A120" s="224" t="s">
        <v>1659</v>
      </c>
      <c r="B120" s="663"/>
      <c r="C120" s="226">
        <f t="shared" ref="C120:E121" si="17">C32</f>
        <v>0</v>
      </c>
      <c r="D120" s="227">
        <f t="shared" si="17"/>
        <v>0</v>
      </c>
      <c r="E120" s="226">
        <f t="shared" si="17"/>
        <v>0</v>
      </c>
    </row>
    <row r="121" spans="1:9">
      <c r="A121" s="224" t="s">
        <v>104</v>
      </c>
      <c r="B121" s="663"/>
      <c r="C121" s="226">
        <f t="shared" si="17"/>
        <v>0</v>
      </c>
      <c r="D121" s="227">
        <f t="shared" si="17"/>
        <v>0</v>
      </c>
      <c r="E121" s="226">
        <f t="shared" si="17"/>
        <v>0</v>
      </c>
    </row>
    <row r="122" spans="1:9">
      <c r="A122" s="224" t="s">
        <v>105</v>
      </c>
      <c r="B122" s="663"/>
      <c r="C122" s="226">
        <f>SUM(C117:C121)</f>
        <v>0</v>
      </c>
      <c r="D122" s="227">
        <f>SUM(D117:D121)</f>
        <v>0</v>
      </c>
      <c r="E122" s="226">
        <f>SUM(E117:E121)</f>
        <v>0</v>
      </c>
    </row>
    <row r="123" spans="1:9">
      <c r="A123" s="224" t="s">
        <v>106</v>
      </c>
      <c r="B123" s="663"/>
      <c r="C123" s="226">
        <f>(B78-B82)-(C78-C82)</f>
        <v>0</v>
      </c>
      <c r="D123" s="227">
        <f>(C78-C82)-(D78-D82)</f>
        <v>0</v>
      </c>
      <c r="E123" s="226">
        <f>(D78-D82)-(E78-E82)</f>
        <v>0</v>
      </c>
    </row>
    <row r="124" spans="1:9">
      <c r="A124" s="224" t="s">
        <v>1660</v>
      </c>
      <c r="B124" s="663"/>
      <c r="C124" s="226">
        <f>B89-C89</f>
        <v>0</v>
      </c>
      <c r="D124" s="227">
        <f>C89-D89</f>
        <v>0</v>
      </c>
      <c r="E124" s="226">
        <f>D89-E89</f>
        <v>0</v>
      </c>
    </row>
    <row r="125" spans="1:9">
      <c r="A125" s="224" t="s">
        <v>107</v>
      </c>
      <c r="B125" s="663"/>
      <c r="C125" s="226">
        <f>C60-B60</f>
        <v>0</v>
      </c>
      <c r="D125" s="227">
        <f>D60-C60</f>
        <v>0</v>
      </c>
      <c r="E125" s="226">
        <f>E60-D60</f>
        <v>0</v>
      </c>
    </row>
    <row r="126" spans="1:9">
      <c r="A126" s="224" t="s">
        <v>108</v>
      </c>
      <c r="B126" s="663"/>
      <c r="C126" s="216">
        <f>C122+C123+C125</f>
        <v>0</v>
      </c>
      <c r="D126" s="217">
        <f>D122+D123+D125</f>
        <v>0</v>
      </c>
      <c r="E126" s="216">
        <f>E122+E123+E125</f>
        <v>0</v>
      </c>
    </row>
    <row r="127" spans="1:9">
      <c r="A127" s="224" t="s">
        <v>109</v>
      </c>
      <c r="B127" s="663"/>
      <c r="C127" s="216">
        <f>C7</f>
        <v>0</v>
      </c>
      <c r="D127" s="217">
        <f>D7</f>
        <v>0</v>
      </c>
      <c r="E127" s="216">
        <f>E7</f>
        <v>0</v>
      </c>
    </row>
    <row r="128" spans="1:9">
      <c r="A128" s="224"/>
      <c r="B128" s="663"/>
      <c r="C128" s="226"/>
      <c r="D128" s="227"/>
      <c r="E128" s="226"/>
    </row>
    <row r="129" spans="1:5">
      <c r="A129" s="224" t="s">
        <v>110</v>
      </c>
      <c r="B129" s="663"/>
      <c r="C129" s="226"/>
      <c r="D129" s="227"/>
      <c r="E129" s="226"/>
    </row>
    <row r="130" spans="1:5">
      <c r="A130" s="224" t="s">
        <v>1661</v>
      </c>
      <c r="B130" s="663"/>
      <c r="C130" s="226">
        <f>B74+B71-C71-C74+B73-C73+B72-C72</f>
        <v>0</v>
      </c>
      <c r="D130" s="227">
        <f>C74+C71-D71-D74+C73-D73+C72-D72</f>
        <v>0</v>
      </c>
      <c r="E130" s="226">
        <f>D74+D71-E71-E74+D73-E73+D72-E72</f>
        <v>0</v>
      </c>
    </row>
    <row r="131" spans="1:5">
      <c r="A131" s="224" t="s">
        <v>1662</v>
      </c>
      <c r="B131" s="663"/>
      <c r="C131" s="226">
        <f>-(C80-B80+C83-B83+C86-B86)</f>
        <v>0</v>
      </c>
      <c r="D131" s="227">
        <f>-(D80-C80+D83-C83+D86-C86)</f>
        <v>0</v>
      </c>
      <c r="E131" s="226">
        <f>-(E80-D80+E83-D83+E86-D86)</f>
        <v>0</v>
      </c>
    </row>
    <row r="132" spans="1:5">
      <c r="A132" s="224" t="s">
        <v>1663</v>
      </c>
      <c r="B132" s="663"/>
      <c r="C132" s="226">
        <f>B88-C88</f>
        <v>0</v>
      </c>
      <c r="D132" s="227">
        <f>C88-D88</f>
        <v>0</v>
      </c>
      <c r="E132" s="226">
        <f>D88-E88</f>
        <v>0</v>
      </c>
    </row>
    <row r="133" spans="1:5">
      <c r="A133" s="224" t="s">
        <v>111</v>
      </c>
      <c r="B133" s="663"/>
      <c r="C133" s="216">
        <f>SUM(C130:C132)</f>
        <v>0</v>
      </c>
      <c r="D133" s="217">
        <f>SUM(D130:D132)</f>
        <v>0</v>
      </c>
      <c r="E133" s="216">
        <f>SUM(E130:E132)</f>
        <v>0</v>
      </c>
    </row>
    <row r="134" spans="1:5">
      <c r="A134" s="224"/>
      <c r="B134" s="663"/>
      <c r="C134" s="226"/>
      <c r="D134" s="227"/>
      <c r="E134" s="226"/>
    </row>
    <row r="135" spans="1:5">
      <c r="A135" s="224" t="s">
        <v>112</v>
      </c>
      <c r="B135" s="663"/>
      <c r="C135" s="226"/>
      <c r="D135" s="227"/>
      <c r="E135" s="226"/>
    </row>
    <row r="136" spans="1:5">
      <c r="A136" s="224" t="s">
        <v>113</v>
      </c>
      <c r="B136" s="663"/>
      <c r="C136" s="226">
        <f>C55-B55</f>
        <v>0</v>
      </c>
      <c r="D136" s="227">
        <f>D55-C55</f>
        <v>0</v>
      </c>
      <c r="E136" s="226">
        <f>E55-D55</f>
        <v>0</v>
      </c>
    </row>
    <row r="137" spans="1:5">
      <c r="A137" s="224" t="s">
        <v>114</v>
      </c>
      <c r="B137" s="663"/>
      <c r="C137" s="226">
        <f>C56+C57-B56-B57</f>
        <v>0</v>
      </c>
      <c r="D137" s="227">
        <f>D56+D57-C56-C57</f>
        <v>0</v>
      </c>
      <c r="E137" s="226">
        <f>E56+E57-D56-D57</f>
        <v>0</v>
      </c>
    </row>
    <row r="138" spans="1:5">
      <c r="A138" s="224" t="s">
        <v>115</v>
      </c>
      <c r="B138" s="663"/>
      <c r="C138" s="226">
        <f>(C51-C39)-B51</f>
        <v>0</v>
      </c>
      <c r="D138" s="227">
        <f>(D51-D39)-C51</f>
        <v>0</v>
      </c>
      <c r="E138" s="226">
        <f>(E51-E39)-D51</f>
        <v>0</v>
      </c>
    </row>
    <row r="139" spans="1:5">
      <c r="A139" s="224" t="s">
        <v>1664</v>
      </c>
      <c r="B139" s="663"/>
      <c r="C139" s="226">
        <f>C52-B52</f>
        <v>0</v>
      </c>
      <c r="D139" s="227">
        <f>D52-C52</f>
        <v>0</v>
      </c>
      <c r="E139" s="226">
        <f>E52-D52</f>
        <v>0</v>
      </c>
    </row>
    <row r="140" spans="1:5">
      <c r="A140" s="224" t="s">
        <v>116</v>
      </c>
      <c r="B140" s="663"/>
      <c r="C140" s="216">
        <f>SUM(C136:C139)</f>
        <v>0</v>
      </c>
      <c r="D140" s="217">
        <f>SUM(D136:D139)</f>
        <v>0</v>
      </c>
      <c r="E140" s="216">
        <f>SUM(E136:E139)</f>
        <v>0</v>
      </c>
    </row>
    <row r="141" spans="1:5">
      <c r="A141" s="224" t="s">
        <v>117</v>
      </c>
      <c r="B141" s="663"/>
      <c r="C141" s="216">
        <f>C126+C127+C133+C140</f>
        <v>0</v>
      </c>
      <c r="D141" s="217">
        <f>D126+D127+D133+D140</f>
        <v>0</v>
      </c>
      <c r="E141" s="216">
        <f>E126+E127+E133+E140</f>
        <v>0</v>
      </c>
    </row>
    <row r="142" spans="1:5">
      <c r="A142" s="224"/>
      <c r="B142" s="663"/>
      <c r="C142" s="226"/>
      <c r="D142" s="227"/>
      <c r="E142" s="226"/>
    </row>
    <row r="143" spans="1:5">
      <c r="A143" s="224" t="s">
        <v>118</v>
      </c>
      <c r="B143" s="663"/>
      <c r="C143" s="216">
        <f>B82</f>
        <v>0</v>
      </c>
      <c r="D143" s="217">
        <f>C82</f>
        <v>0</v>
      </c>
      <c r="E143" s="216">
        <f>D82</f>
        <v>0</v>
      </c>
    </row>
    <row r="144" spans="1:5">
      <c r="A144" s="224" t="s">
        <v>119</v>
      </c>
      <c r="B144" s="663"/>
      <c r="C144" s="216">
        <f>C82</f>
        <v>0</v>
      </c>
      <c r="D144" s="217">
        <f>D82</f>
        <v>0</v>
      </c>
      <c r="E144" s="216">
        <f>E82</f>
        <v>0</v>
      </c>
    </row>
    <row r="145" spans="1:5">
      <c r="A145" s="224"/>
      <c r="B145" s="663"/>
      <c r="C145" s="226"/>
      <c r="D145" s="227"/>
      <c r="E145" s="226"/>
    </row>
    <row r="146" spans="1:5">
      <c r="A146" s="221" t="s">
        <v>120</v>
      </c>
      <c r="B146" s="664"/>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VSvO+CRuLpNEL6oPLs+g5/JkJr3VgTMUMwgZy1iEibT/n/bKPqRsmRvCmGnwu3IXnK7613ZOtsJwk1EK5jckg==" saltValue="OqRX1Z8xhrAxn3eQpCpqtQ==" spinCount="100000" sheet="1" objects="1" scenarios="1"/>
  <mergeCells count="25">
    <mergeCell ref="G95:I95"/>
    <mergeCell ref="G3:I3"/>
    <mergeCell ref="G46:I46"/>
    <mergeCell ref="G93:I93"/>
    <mergeCell ref="A1:I1"/>
    <mergeCell ref="B2:I2"/>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D8" sqref="D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666" t="s">
        <v>18</v>
      </c>
      <c r="B1" s="667"/>
      <c r="C1" s="667"/>
      <c r="D1" s="667"/>
      <c r="E1" s="667"/>
      <c r="F1" s="667"/>
      <c r="G1" s="667"/>
      <c r="H1" s="667"/>
      <c r="I1" s="667"/>
    </row>
    <row r="2" spans="1:9" s="3" customFormat="1" ht="21">
      <c r="A2" s="2" t="s">
        <v>19</v>
      </c>
      <c r="B2" s="668"/>
      <c r="C2" s="669"/>
      <c r="D2" s="669"/>
      <c r="E2" s="669"/>
      <c r="F2" s="669"/>
      <c r="G2" s="669"/>
      <c r="H2" s="669"/>
      <c r="I2" s="669"/>
    </row>
    <row r="3" spans="1:9">
      <c r="A3" s="4" t="s">
        <v>20</v>
      </c>
      <c r="B3" s="302" t="s">
        <v>1403</v>
      </c>
      <c r="C3" s="302" t="s">
        <v>1403</v>
      </c>
      <c r="D3" s="302" t="s">
        <v>1403</v>
      </c>
      <c r="E3" s="302" t="s">
        <v>1403</v>
      </c>
      <c r="G3" s="670" t="s">
        <v>21</v>
      </c>
      <c r="H3" s="670"/>
      <c r="I3" s="670"/>
    </row>
    <row r="4" spans="1:9">
      <c r="A4" s="212" t="s">
        <v>22</v>
      </c>
      <c r="B4" s="5">
        <f>DATE(YEAR(C4)-1,MONTH(C4),DAY(C4))</f>
        <v>43555</v>
      </c>
      <c r="C4" s="5">
        <f>DATE(YEAR(D4)-1,MONTH(D4),DAY(D4))</f>
        <v>43921</v>
      </c>
      <c r="D4" s="5">
        <f>'Fin-1'!D4</f>
        <v>44286</v>
      </c>
      <c r="E4" s="211">
        <f>DATE(YEAR(D4)+1,MONTH(D4),DAY(D4))</f>
        <v>44651</v>
      </c>
      <c r="G4" s="7">
        <f>C4</f>
        <v>43921</v>
      </c>
      <c r="H4" s="7">
        <f>D4</f>
        <v>44286</v>
      </c>
      <c r="I4" s="7">
        <f>E4</f>
        <v>44651</v>
      </c>
    </row>
    <row r="5" spans="1:9">
      <c r="A5" s="213" t="s">
        <v>23</v>
      </c>
      <c r="B5" s="214"/>
      <c r="C5" s="214"/>
      <c r="D5" s="214"/>
      <c r="E5" s="214"/>
      <c r="G5" s="8" t="str">
        <f t="shared" ref="G5:G44" si="0">IF(OR(B5=0,C5=0),"",(C5-B5)/B5)</f>
        <v/>
      </c>
      <c r="H5" s="8" t="str">
        <f t="shared" ref="H5:H44" si="1">IF(OR(C5=0,D5=0),"",(D5-C5)/C5)</f>
        <v/>
      </c>
      <c r="I5" s="8" t="str">
        <f t="shared" ref="I5:I44" si="2">IF(OR(D5=0,E5=0),"",(E5-D5)/D5)</f>
        <v/>
      </c>
    </row>
    <row r="6" spans="1:9">
      <c r="A6" s="213" t="s">
        <v>24</v>
      </c>
      <c r="B6" s="214"/>
      <c r="C6" s="214"/>
      <c r="D6" s="214"/>
      <c r="E6" s="214"/>
      <c r="G6" s="8" t="str">
        <f t="shared" si="0"/>
        <v/>
      </c>
      <c r="H6" s="8" t="str">
        <f t="shared" si="1"/>
        <v/>
      </c>
      <c r="I6" s="8" t="str">
        <f t="shared" si="2"/>
        <v/>
      </c>
    </row>
    <row r="7" spans="1:9">
      <c r="A7" s="213" t="s">
        <v>25</v>
      </c>
      <c r="B7" s="214"/>
      <c r="C7" s="214"/>
      <c r="D7" s="214"/>
      <c r="E7" s="214"/>
      <c r="G7" s="8" t="str">
        <f t="shared" si="0"/>
        <v/>
      </c>
      <c r="H7" s="8" t="str">
        <f t="shared" si="1"/>
        <v/>
      </c>
      <c r="I7" s="8" t="str">
        <f t="shared" si="2"/>
        <v/>
      </c>
    </row>
    <row r="8" spans="1:9">
      <c r="A8" s="215" t="s">
        <v>26</v>
      </c>
      <c r="B8" s="216">
        <f>SUM(B5:B7)</f>
        <v>0</v>
      </c>
      <c r="C8" s="216">
        <f>SUM(C5:C7)</f>
        <v>0</v>
      </c>
      <c r="D8" s="216">
        <f>SUM(D5:D7)</f>
        <v>0</v>
      </c>
      <c r="E8" s="216">
        <f>SUM(E5:E7)</f>
        <v>0</v>
      </c>
      <c r="G8" s="8" t="str">
        <f t="shared" si="0"/>
        <v/>
      </c>
      <c r="H8" s="8" t="str">
        <f t="shared" si="1"/>
        <v/>
      </c>
      <c r="I8" s="8" t="str">
        <f t="shared" si="2"/>
        <v/>
      </c>
    </row>
    <row r="9" spans="1:9">
      <c r="A9" s="215" t="s">
        <v>1630</v>
      </c>
      <c r="B9" s="216">
        <f>B10+B11+B12-B13+B14+B15</f>
        <v>0</v>
      </c>
      <c r="C9" s="216">
        <f>C10+C11+C12-C13+C14+C15</f>
        <v>0</v>
      </c>
      <c r="D9" s="216">
        <f>D10+D11+D12-D13+D14+D15</f>
        <v>0</v>
      </c>
      <c r="E9" s="216">
        <f>E10+E11+E12-E13+E14+E15</f>
        <v>0</v>
      </c>
      <c r="G9" s="8" t="str">
        <f t="shared" si="0"/>
        <v/>
      </c>
      <c r="H9" s="8" t="str">
        <f t="shared" si="1"/>
        <v/>
      </c>
      <c r="I9" s="8" t="str">
        <f t="shared" si="2"/>
        <v/>
      </c>
    </row>
    <row r="10" spans="1:9">
      <c r="A10" s="213" t="s">
        <v>27</v>
      </c>
      <c r="B10" s="214"/>
      <c r="C10" s="214"/>
      <c r="D10" s="214"/>
      <c r="E10" s="214"/>
      <c r="G10" s="8" t="str">
        <f t="shared" si="0"/>
        <v/>
      </c>
      <c r="H10" s="8" t="str">
        <f t="shared" si="1"/>
        <v/>
      </c>
      <c r="I10" s="8" t="str">
        <f t="shared" si="2"/>
        <v/>
      </c>
    </row>
    <row r="11" spans="1:9">
      <c r="A11" s="213" t="s">
        <v>28</v>
      </c>
      <c r="B11" s="214"/>
      <c r="C11" s="214"/>
      <c r="D11" s="214"/>
      <c r="E11" s="214"/>
      <c r="G11" s="8" t="str">
        <f t="shared" si="0"/>
        <v/>
      </c>
      <c r="H11" s="8" t="str">
        <f t="shared" si="1"/>
        <v/>
      </c>
      <c r="I11" s="8" t="str">
        <f t="shared" si="2"/>
        <v/>
      </c>
    </row>
    <row r="12" spans="1:9">
      <c r="A12" s="213" t="s">
        <v>1631</v>
      </c>
      <c r="B12" s="214"/>
      <c r="C12" s="214"/>
      <c r="D12" s="214"/>
      <c r="E12" s="214"/>
      <c r="G12" s="8" t="str">
        <f t="shared" si="0"/>
        <v/>
      </c>
      <c r="H12" s="8" t="str">
        <f t="shared" si="1"/>
        <v/>
      </c>
      <c r="I12" s="8" t="str">
        <f t="shared" si="2"/>
        <v/>
      </c>
    </row>
    <row r="13" spans="1:9">
      <c r="A13" s="213" t="s">
        <v>29</v>
      </c>
      <c r="B13" s="214"/>
      <c r="C13" s="214"/>
      <c r="D13" s="214"/>
      <c r="E13" s="214"/>
      <c r="G13" s="8" t="str">
        <f t="shared" si="0"/>
        <v/>
      </c>
      <c r="H13" s="8" t="str">
        <f t="shared" si="1"/>
        <v/>
      </c>
      <c r="I13" s="8" t="str">
        <f t="shared" si="2"/>
        <v/>
      </c>
    </row>
    <row r="14" spans="1:9">
      <c r="A14" s="213" t="s">
        <v>1632</v>
      </c>
      <c r="B14" s="214"/>
      <c r="C14" s="214"/>
      <c r="D14" s="214"/>
      <c r="E14" s="214"/>
      <c r="G14" s="8" t="str">
        <f t="shared" si="0"/>
        <v/>
      </c>
      <c r="H14" s="8" t="str">
        <f t="shared" si="1"/>
        <v/>
      </c>
      <c r="I14" s="8" t="str">
        <f t="shared" si="2"/>
        <v/>
      </c>
    </row>
    <row r="15" spans="1:9">
      <c r="A15" s="213" t="s">
        <v>30</v>
      </c>
      <c r="B15" s="214"/>
      <c r="C15" s="214"/>
      <c r="D15" s="214"/>
      <c r="E15" s="214"/>
      <c r="G15" s="8" t="str">
        <f t="shared" si="0"/>
        <v/>
      </c>
      <c r="H15" s="8" t="str">
        <f t="shared" si="1"/>
        <v/>
      </c>
      <c r="I15" s="8" t="str">
        <f t="shared" si="2"/>
        <v/>
      </c>
    </row>
    <row r="16" spans="1:9">
      <c r="A16" s="215" t="s">
        <v>31</v>
      </c>
      <c r="B16" s="216">
        <f t="shared" ref="B16:E16" si="3">B8-B9</f>
        <v>0</v>
      </c>
      <c r="C16" s="216">
        <f t="shared" si="3"/>
        <v>0</v>
      </c>
      <c r="D16" s="217">
        <f t="shared" si="3"/>
        <v>0</v>
      </c>
      <c r="E16" s="216">
        <f t="shared" si="3"/>
        <v>0</v>
      </c>
      <c r="G16" s="8" t="str">
        <f t="shared" si="0"/>
        <v/>
      </c>
      <c r="H16" s="8" t="str">
        <f t="shared" si="1"/>
        <v/>
      </c>
      <c r="I16" s="8" t="str">
        <f t="shared" si="2"/>
        <v/>
      </c>
    </row>
    <row r="17" spans="1:9">
      <c r="A17" s="215" t="s">
        <v>1677</v>
      </c>
      <c r="B17" s="216">
        <f>B8-B9-B7</f>
        <v>0</v>
      </c>
      <c r="C17" s="216">
        <f t="shared" ref="C17:E17" si="4">C8-C9-C7</f>
        <v>0</v>
      </c>
      <c r="D17" s="216">
        <f t="shared" si="4"/>
        <v>0</v>
      </c>
      <c r="E17" s="216">
        <f t="shared" si="4"/>
        <v>0</v>
      </c>
      <c r="G17" s="8" t="str">
        <f t="shared" si="0"/>
        <v/>
      </c>
      <c r="H17" s="8" t="str">
        <f t="shared" si="1"/>
        <v/>
      </c>
      <c r="I17" s="8" t="str">
        <f t="shared" si="2"/>
        <v/>
      </c>
    </row>
    <row r="18" spans="1:9">
      <c r="A18" s="213" t="s">
        <v>32</v>
      </c>
      <c r="B18" s="214"/>
      <c r="C18" s="214"/>
      <c r="D18" s="214"/>
      <c r="E18" s="214"/>
      <c r="G18" s="8" t="str">
        <f t="shared" si="0"/>
        <v/>
      </c>
      <c r="H18" s="8" t="str">
        <f t="shared" si="1"/>
        <v/>
      </c>
      <c r="I18" s="8" t="str">
        <f t="shared" si="2"/>
        <v/>
      </c>
    </row>
    <row r="19" spans="1:9">
      <c r="A19" s="213" t="s">
        <v>33</v>
      </c>
      <c r="B19" s="214"/>
      <c r="C19" s="214"/>
      <c r="D19" s="214"/>
      <c r="E19" s="214"/>
      <c r="G19" s="8" t="str">
        <f t="shared" si="0"/>
        <v/>
      </c>
      <c r="H19" s="8" t="str">
        <f t="shared" si="1"/>
        <v/>
      </c>
      <c r="I19" s="8" t="str">
        <f t="shared" si="2"/>
        <v/>
      </c>
    </row>
    <row r="20" spans="1:9">
      <c r="A20" s="213" t="s">
        <v>34</v>
      </c>
      <c r="B20" s="214"/>
      <c r="C20" s="214"/>
      <c r="D20" s="214"/>
      <c r="E20" s="214"/>
      <c r="G20" s="8" t="str">
        <f t="shared" si="0"/>
        <v/>
      </c>
      <c r="H20" s="8" t="str">
        <f t="shared" si="1"/>
        <v/>
      </c>
      <c r="I20" s="8" t="str">
        <f t="shared" si="2"/>
        <v/>
      </c>
    </row>
    <row r="21" spans="1:9">
      <c r="A21" s="213" t="s">
        <v>1633</v>
      </c>
      <c r="B21" s="214"/>
      <c r="C21" s="214"/>
      <c r="D21" s="214"/>
      <c r="E21" s="214"/>
      <c r="G21" s="8" t="str">
        <f t="shared" si="0"/>
        <v/>
      </c>
      <c r="H21" s="8" t="str">
        <f t="shared" si="1"/>
        <v/>
      </c>
      <c r="I21" s="8" t="str">
        <f t="shared" si="2"/>
        <v/>
      </c>
    </row>
    <row r="22" spans="1:9">
      <c r="A22" s="213" t="s">
        <v>1634</v>
      </c>
      <c r="B22" s="214"/>
      <c r="C22" s="214"/>
      <c r="D22" s="214"/>
      <c r="E22" s="214"/>
      <c r="G22" s="8" t="str">
        <f t="shared" si="0"/>
        <v/>
      </c>
      <c r="H22" s="8" t="str">
        <f t="shared" si="1"/>
        <v/>
      </c>
      <c r="I22" s="8" t="str">
        <f t="shared" si="2"/>
        <v/>
      </c>
    </row>
    <row r="23" spans="1:9">
      <c r="A23" s="215" t="s">
        <v>1635</v>
      </c>
      <c r="B23" s="216">
        <f>B17-SUM(B18:B22)</f>
        <v>0</v>
      </c>
      <c r="C23" s="216">
        <f>C17-SUM(C18:C22)</f>
        <v>0</v>
      </c>
      <c r="D23" s="217">
        <f>D17-SUM(D18:D22)</f>
        <v>0</v>
      </c>
      <c r="E23" s="216">
        <f>E17-SUM(E18:E22)</f>
        <v>0</v>
      </c>
      <c r="G23" s="8" t="str">
        <f t="shared" si="0"/>
        <v/>
      </c>
      <c r="H23" s="8" t="str">
        <f t="shared" si="1"/>
        <v/>
      </c>
      <c r="I23" s="8" t="str">
        <f t="shared" si="2"/>
        <v/>
      </c>
    </row>
    <row r="24" spans="1:9">
      <c r="A24" s="215" t="s">
        <v>1636</v>
      </c>
      <c r="B24" s="216">
        <f>SUM(B25:B28)</f>
        <v>0</v>
      </c>
      <c r="C24" s="216">
        <f>SUM(C25:C28)</f>
        <v>0</v>
      </c>
      <c r="D24" s="217">
        <f>SUM(D25:D28)</f>
        <v>0</v>
      </c>
      <c r="E24" s="216">
        <f>SUM(E25:E28)</f>
        <v>0</v>
      </c>
      <c r="G24" s="8" t="str">
        <f t="shared" si="0"/>
        <v/>
      </c>
      <c r="H24" s="8" t="str">
        <f t="shared" si="1"/>
        <v/>
      </c>
      <c r="I24" s="8" t="str">
        <f t="shared" si="2"/>
        <v/>
      </c>
    </row>
    <row r="25" spans="1:9">
      <c r="A25" s="213" t="s">
        <v>36</v>
      </c>
      <c r="B25" s="214"/>
      <c r="C25" s="214"/>
      <c r="D25" s="214"/>
      <c r="E25" s="214"/>
      <c r="G25" s="8" t="str">
        <f t="shared" si="0"/>
        <v/>
      </c>
      <c r="H25" s="8" t="str">
        <f t="shared" si="1"/>
        <v/>
      </c>
      <c r="I25" s="8" t="str">
        <f t="shared" si="2"/>
        <v/>
      </c>
    </row>
    <row r="26" spans="1:9">
      <c r="A26" s="213" t="s">
        <v>37</v>
      </c>
      <c r="B26" s="214"/>
      <c r="C26" s="214"/>
      <c r="D26" s="214"/>
      <c r="E26" s="214"/>
      <c r="G26" s="8" t="str">
        <f t="shared" si="0"/>
        <v/>
      </c>
      <c r="H26" s="8" t="str">
        <f t="shared" si="1"/>
        <v/>
      </c>
      <c r="I26" s="8" t="str">
        <f t="shared" si="2"/>
        <v/>
      </c>
    </row>
    <row r="27" spans="1:9">
      <c r="A27" s="213" t="s">
        <v>38</v>
      </c>
      <c r="B27" s="214"/>
      <c r="C27" s="214"/>
      <c r="D27" s="214"/>
      <c r="E27" s="214"/>
      <c r="G27" s="8" t="str">
        <f t="shared" si="0"/>
        <v/>
      </c>
      <c r="H27" s="8" t="str">
        <f t="shared" si="1"/>
        <v/>
      </c>
      <c r="I27" s="8" t="str">
        <f t="shared" si="2"/>
        <v/>
      </c>
    </row>
    <row r="28" spans="1:9">
      <c r="A28" s="213" t="s">
        <v>35</v>
      </c>
      <c r="B28" s="214"/>
      <c r="C28" s="214"/>
      <c r="D28" s="214"/>
      <c r="E28" s="214"/>
      <c r="G28" s="8" t="str">
        <f t="shared" si="0"/>
        <v/>
      </c>
      <c r="H28" s="8" t="str">
        <f t="shared" si="1"/>
        <v/>
      </c>
      <c r="I28" s="8" t="str">
        <f t="shared" si="2"/>
        <v/>
      </c>
    </row>
    <row r="29" spans="1:9">
      <c r="A29" s="215" t="s">
        <v>1637</v>
      </c>
      <c r="B29" s="216">
        <f>B23-B28</f>
        <v>0</v>
      </c>
      <c r="C29" s="216">
        <f>C23-C28</f>
        <v>0</v>
      </c>
      <c r="D29" s="217">
        <f>D23-D28</f>
        <v>0</v>
      </c>
      <c r="E29" s="216">
        <f>E23-E28</f>
        <v>0</v>
      </c>
      <c r="G29" s="8" t="str">
        <f t="shared" si="0"/>
        <v/>
      </c>
      <c r="H29" s="8" t="str">
        <f t="shared" si="1"/>
        <v/>
      </c>
      <c r="I29" s="8" t="str">
        <f t="shared" si="2"/>
        <v/>
      </c>
    </row>
    <row r="30" spans="1:9">
      <c r="A30" s="215" t="s">
        <v>1638</v>
      </c>
      <c r="B30" s="216">
        <f>B29-B25</f>
        <v>0</v>
      </c>
      <c r="C30" s="216">
        <f>C29-C25</f>
        <v>0</v>
      </c>
      <c r="D30" s="217">
        <f>D29-D25</f>
        <v>0</v>
      </c>
      <c r="E30" s="216">
        <f>E29-E25</f>
        <v>0</v>
      </c>
      <c r="G30" s="8" t="str">
        <f t="shared" si="0"/>
        <v/>
      </c>
      <c r="H30" s="8" t="str">
        <f t="shared" si="1"/>
        <v/>
      </c>
      <c r="I30" s="8" t="str">
        <f t="shared" si="2"/>
        <v/>
      </c>
    </row>
    <row r="31" spans="1:9">
      <c r="A31" s="213" t="s">
        <v>39</v>
      </c>
      <c r="B31" s="214"/>
      <c r="C31" s="214"/>
      <c r="D31" s="214"/>
      <c r="E31" s="214"/>
      <c r="G31" s="8" t="str">
        <f t="shared" si="0"/>
        <v/>
      </c>
      <c r="H31" s="8" t="str">
        <f t="shared" si="1"/>
        <v/>
      </c>
      <c r="I31" s="8" t="str">
        <f t="shared" si="2"/>
        <v/>
      </c>
    </row>
    <row r="32" spans="1:9">
      <c r="A32" s="213" t="s">
        <v>40</v>
      </c>
      <c r="B32" s="214"/>
      <c r="C32" s="214"/>
      <c r="D32" s="214"/>
      <c r="E32" s="214"/>
      <c r="G32" s="8" t="str">
        <f t="shared" si="0"/>
        <v/>
      </c>
      <c r="H32" s="8" t="str">
        <f t="shared" si="1"/>
        <v/>
      </c>
      <c r="I32" s="8" t="str">
        <f t="shared" si="2"/>
        <v/>
      </c>
    </row>
    <row r="33" spans="1:9">
      <c r="A33" s="213" t="s">
        <v>41</v>
      </c>
      <c r="B33" s="214"/>
      <c r="C33" s="214"/>
      <c r="D33" s="214"/>
      <c r="E33" s="214"/>
      <c r="G33" s="8" t="str">
        <f t="shared" si="0"/>
        <v/>
      </c>
      <c r="H33" s="8" t="str">
        <f t="shared" si="1"/>
        <v/>
      </c>
      <c r="I33" s="8" t="str">
        <f t="shared" si="2"/>
        <v/>
      </c>
    </row>
    <row r="34" spans="1:9">
      <c r="A34" s="213" t="s">
        <v>42</v>
      </c>
      <c r="B34" s="214"/>
      <c r="C34" s="214"/>
      <c r="D34" s="214"/>
      <c r="E34" s="214"/>
      <c r="G34" s="8" t="str">
        <f t="shared" si="0"/>
        <v/>
      </c>
      <c r="H34" s="8" t="str">
        <f t="shared" si="1"/>
        <v/>
      </c>
      <c r="I34" s="8" t="str">
        <f t="shared" si="2"/>
        <v/>
      </c>
    </row>
    <row r="35" spans="1:9">
      <c r="A35" s="213" t="s">
        <v>43</v>
      </c>
      <c r="B35" s="214"/>
      <c r="C35" s="214"/>
      <c r="D35" s="214"/>
      <c r="E35" s="214"/>
      <c r="G35" s="8" t="str">
        <f t="shared" si="0"/>
        <v/>
      </c>
      <c r="H35" s="8" t="str">
        <f t="shared" si="1"/>
        <v/>
      </c>
      <c r="I35" s="8" t="str">
        <f t="shared" si="2"/>
        <v/>
      </c>
    </row>
    <row r="36" spans="1:9">
      <c r="A36" s="215" t="s">
        <v>44</v>
      </c>
      <c r="B36" s="216">
        <f>B23-B24-SUM(B31:B35)+B7</f>
        <v>0</v>
      </c>
      <c r="C36" s="216">
        <f>C23-C24-SUM(C31:C35)+C7</f>
        <v>0</v>
      </c>
      <c r="D36" s="217">
        <f>D23-D24-SUM(D31:D35)+D7</f>
        <v>0</v>
      </c>
      <c r="E36" s="216">
        <f>E23-E24-SUM(E31:E35)+E7</f>
        <v>0</v>
      </c>
      <c r="G36" s="8" t="str">
        <f t="shared" si="0"/>
        <v/>
      </c>
      <c r="H36" s="8" t="str">
        <f t="shared" si="1"/>
        <v/>
      </c>
      <c r="I36" s="8" t="str">
        <f t="shared" si="2"/>
        <v/>
      </c>
    </row>
    <row r="37" spans="1:9">
      <c r="A37" s="215" t="s">
        <v>45</v>
      </c>
      <c r="B37" s="216">
        <f>B36-B7</f>
        <v>0</v>
      </c>
      <c r="C37" s="216">
        <f>C36-C7</f>
        <v>0</v>
      </c>
      <c r="D37" s="217">
        <f>D36-D7</f>
        <v>0</v>
      </c>
      <c r="E37" s="216">
        <f>E36-E7</f>
        <v>0</v>
      </c>
      <c r="G37" s="8" t="str">
        <f t="shared" si="0"/>
        <v/>
      </c>
      <c r="H37" s="8" t="str">
        <f t="shared" si="1"/>
        <v/>
      </c>
      <c r="I37" s="8" t="str">
        <f t="shared" si="2"/>
        <v/>
      </c>
    </row>
    <row r="38" spans="1:9">
      <c r="A38" s="213" t="s">
        <v>46</v>
      </c>
      <c r="B38" s="214"/>
      <c r="C38" s="214"/>
      <c r="D38" s="214"/>
      <c r="E38" s="214"/>
      <c r="G38" s="8" t="str">
        <f t="shared" si="0"/>
        <v/>
      </c>
      <c r="H38" s="8" t="str">
        <f t="shared" si="1"/>
        <v/>
      </c>
      <c r="I38" s="8" t="str">
        <f t="shared" si="2"/>
        <v/>
      </c>
    </row>
    <row r="39" spans="1:9">
      <c r="A39" s="215" t="s">
        <v>47</v>
      </c>
      <c r="B39" s="216">
        <f>B36-B38</f>
        <v>0</v>
      </c>
      <c r="C39" s="216">
        <f>C36-C38</f>
        <v>0</v>
      </c>
      <c r="D39" s="217">
        <f>D36-D38</f>
        <v>0</v>
      </c>
      <c r="E39" s="216">
        <f>E36-E38</f>
        <v>0</v>
      </c>
      <c r="G39" s="8" t="str">
        <f t="shared" si="0"/>
        <v/>
      </c>
      <c r="H39" s="8" t="str">
        <f t="shared" si="1"/>
        <v/>
      </c>
      <c r="I39" s="8" t="str">
        <f t="shared" si="2"/>
        <v/>
      </c>
    </row>
    <row r="40" spans="1:9">
      <c r="A40" s="215" t="s">
        <v>48</v>
      </c>
      <c r="B40" s="216">
        <f>B37-B38</f>
        <v>0</v>
      </c>
      <c r="C40" s="216">
        <f>C37-C38</f>
        <v>0</v>
      </c>
      <c r="D40" s="217">
        <f>D37-D38</f>
        <v>0</v>
      </c>
      <c r="E40" s="216">
        <f>E37-E38</f>
        <v>0</v>
      </c>
      <c r="G40" s="8" t="str">
        <f t="shared" si="0"/>
        <v/>
      </c>
      <c r="H40" s="8" t="str">
        <f t="shared" si="1"/>
        <v/>
      </c>
      <c r="I40" s="8" t="str">
        <f t="shared" si="2"/>
        <v/>
      </c>
    </row>
    <row r="41" spans="1:9">
      <c r="A41" s="215" t="s">
        <v>49</v>
      </c>
      <c r="B41" s="216">
        <f>B40+B31+B33</f>
        <v>0</v>
      </c>
      <c r="C41" s="216">
        <f>C40+C31+C33</f>
        <v>0</v>
      </c>
      <c r="D41" s="217">
        <f>D40+D31+D33</f>
        <v>0</v>
      </c>
      <c r="E41" s="216">
        <f>E40+E31+E33</f>
        <v>0</v>
      </c>
      <c r="G41" s="8" t="str">
        <f t="shared" si="0"/>
        <v/>
      </c>
      <c r="H41" s="8" t="str">
        <f t="shared" si="1"/>
        <v/>
      </c>
      <c r="I41" s="8" t="str">
        <f t="shared" si="2"/>
        <v/>
      </c>
    </row>
    <row r="42" spans="1:9">
      <c r="A42" s="215" t="s">
        <v>50</v>
      </c>
      <c r="B42" s="216">
        <f>B41+B34+B35</f>
        <v>0</v>
      </c>
      <c r="C42" s="216">
        <f>C41+C34+C35</f>
        <v>0</v>
      </c>
      <c r="D42" s="217">
        <f>D41+D34+D35</f>
        <v>0</v>
      </c>
      <c r="E42" s="216">
        <f>E41+E34+E35</f>
        <v>0</v>
      </c>
      <c r="G42" s="8" t="str">
        <f t="shared" si="0"/>
        <v/>
      </c>
      <c r="H42" s="8" t="str">
        <f t="shared" si="1"/>
        <v/>
      </c>
      <c r="I42" s="8" t="str">
        <f t="shared" si="2"/>
        <v/>
      </c>
    </row>
    <row r="43" spans="1:9">
      <c r="A43" s="213" t="s">
        <v>1639</v>
      </c>
      <c r="B43" s="214"/>
      <c r="C43" s="214"/>
      <c r="D43" s="214"/>
      <c r="E43" s="214"/>
      <c r="G43" s="8" t="str">
        <f t="shared" si="0"/>
        <v/>
      </c>
      <c r="H43" s="8" t="str">
        <f t="shared" si="1"/>
        <v/>
      </c>
      <c r="I43" s="8" t="str">
        <f t="shared" si="2"/>
        <v/>
      </c>
    </row>
    <row r="44" spans="1:9">
      <c r="A44" s="215" t="s">
        <v>1640</v>
      </c>
      <c r="B44" s="216">
        <f>B39-B43</f>
        <v>0</v>
      </c>
      <c r="C44" s="216">
        <f>C39-C43</f>
        <v>0</v>
      </c>
      <c r="D44" s="217">
        <f>D39-D43</f>
        <v>0</v>
      </c>
      <c r="E44" s="216">
        <f>E39-E43</f>
        <v>0</v>
      </c>
      <c r="G44" s="8" t="str">
        <f t="shared" si="0"/>
        <v/>
      </c>
      <c r="H44" s="8" t="str">
        <f t="shared" si="1"/>
        <v/>
      </c>
      <c r="I44" s="8" t="str">
        <f t="shared" si="2"/>
        <v/>
      </c>
    </row>
    <row r="45" spans="1:9">
      <c r="A45" s="203"/>
      <c r="B45" s="204"/>
      <c r="C45" s="204"/>
      <c r="D45" s="205"/>
      <c r="E45" s="205"/>
      <c r="G45" s="9"/>
      <c r="H45" s="9"/>
      <c r="I45" s="9"/>
    </row>
    <row r="46" spans="1:9">
      <c r="A46" s="212" t="s">
        <v>51</v>
      </c>
      <c r="B46" s="218" t="str">
        <f>B3</f>
        <v>Audited and Filed</v>
      </c>
      <c r="C46" s="218" t="str">
        <f t="shared" ref="C46:E47" si="5">C3</f>
        <v>Audited and Filed</v>
      </c>
      <c r="D46" s="218" t="str">
        <f t="shared" si="5"/>
        <v>Audited and Filed</v>
      </c>
      <c r="E46" s="218" t="str">
        <f t="shared" si="5"/>
        <v>Audited and Filed</v>
      </c>
      <c r="G46" s="670" t="s">
        <v>21</v>
      </c>
      <c r="H46" s="670"/>
      <c r="I46" s="670"/>
    </row>
    <row r="47" spans="1:9">
      <c r="A47" s="212" t="s">
        <v>52</v>
      </c>
      <c r="B47" s="211">
        <f>B4</f>
        <v>43555</v>
      </c>
      <c r="C47" s="211">
        <f t="shared" si="5"/>
        <v>43921</v>
      </c>
      <c r="D47" s="211">
        <f t="shared" si="5"/>
        <v>44286</v>
      </c>
      <c r="E47" s="211">
        <f t="shared" si="5"/>
        <v>44651</v>
      </c>
      <c r="G47" s="7">
        <f>G4</f>
        <v>43921</v>
      </c>
      <c r="H47" s="7">
        <f t="shared" ref="H47:I47" si="6">H4</f>
        <v>44286</v>
      </c>
      <c r="I47" s="7">
        <f t="shared" si="6"/>
        <v>44651</v>
      </c>
    </row>
    <row r="48" spans="1:9">
      <c r="A48" s="219" t="s">
        <v>1641</v>
      </c>
      <c r="B48" s="220"/>
      <c r="C48" s="214"/>
      <c r="D48" s="214"/>
      <c r="E48" s="220"/>
      <c r="G48" s="8" t="str">
        <f t="shared" ref="G48:G66" si="7">IF(OR(B48=0,C48=0),"",(C48-B48)/B48)</f>
        <v/>
      </c>
      <c r="H48" s="8" t="str">
        <f t="shared" ref="H48:H66" si="8">IF(OR(C48=0,D48=0),"",(D48-C48)/C48)</f>
        <v/>
      </c>
      <c r="I48" s="8" t="str">
        <f t="shared" ref="I48:I66" si="9">IF(OR(D48=0,E48=0),"",(E48-D48)/D48)</f>
        <v/>
      </c>
    </row>
    <row r="49" spans="1:9">
      <c r="A49" s="219" t="s">
        <v>1642</v>
      </c>
      <c r="B49" s="220"/>
      <c r="C49" s="214"/>
      <c r="D49" s="214"/>
      <c r="E49" s="220"/>
      <c r="G49" s="8" t="str">
        <f t="shared" si="7"/>
        <v/>
      </c>
      <c r="H49" s="8" t="str">
        <f t="shared" si="8"/>
        <v/>
      </c>
      <c r="I49" s="8" t="str">
        <f t="shared" si="9"/>
        <v/>
      </c>
    </row>
    <row r="50" spans="1:9">
      <c r="A50" s="219" t="s">
        <v>1643</v>
      </c>
      <c r="B50" s="220"/>
      <c r="C50" s="214"/>
      <c r="D50" s="214"/>
      <c r="E50" s="220"/>
      <c r="G50" s="8" t="str">
        <f t="shared" si="7"/>
        <v/>
      </c>
      <c r="H50" s="8" t="str">
        <f t="shared" si="8"/>
        <v/>
      </c>
      <c r="I50" s="8" t="str">
        <f t="shared" si="9"/>
        <v/>
      </c>
    </row>
    <row r="51" spans="1:9">
      <c r="A51" s="215" t="s">
        <v>53</v>
      </c>
      <c r="B51" s="216">
        <f>SUM(B48:B49)-B91</f>
        <v>0</v>
      </c>
      <c r="C51" s="216">
        <f>SUM(C48:C49)-C91</f>
        <v>0</v>
      </c>
      <c r="D51" s="217">
        <f>SUM(D48:D49)-D91</f>
        <v>0</v>
      </c>
      <c r="E51" s="216">
        <f>SUM(E48:E49)-E91</f>
        <v>0</v>
      </c>
      <c r="G51" s="8" t="str">
        <f t="shared" si="7"/>
        <v/>
      </c>
      <c r="H51" s="8" t="str">
        <f t="shared" si="8"/>
        <v/>
      </c>
      <c r="I51" s="8" t="str">
        <f t="shared" si="9"/>
        <v/>
      </c>
    </row>
    <row r="52" spans="1:9">
      <c r="A52" s="219" t="s">
        <v>54</v>
      </c>
      <c r="B52" s="220"/>
      <c r="C52" s="214"/>
      <c r="D52" s="214"/>
      <c r="E52" s="220"/>
      <c r="G52" s="8" t="str">
        <f t="shared" si="7"/>
        <v/>
      </c>
      <c r="H52" s="8" t="str">
        <f t="shared" si="8"/>
        <v/>
      </c>
      <c r="I52" s="8" t="str">
        <f t="shared" si="9"/>
        <v/>
      </c>
    </row>
    <row r="53" spans="1:9">
      <c r="A53" s="215" t="s">
        <v>55</v>
      </c>
      <c r="B53" s="216">
        <f>B51+B52-B77-B80-B88-B90</f>
        <v>0</v>
      </c>
      <c r="C53" s="216">
        <f>C51+C52-C77-C80-C88-C90</f>
        <v>0</v>
      </c>
      <c r="D53" s="217">
        <f>D51+D52-D77-D80-D88-D90</f>
        <v>0</v>
      </c>
      <c r="E53" s="216">
        <f>E51+E52-E77-E80-E88-E90</f>
        <v>0</v>
      </c>
      <c r="G53" s="8" t="str">
        <f t="shared" si="7"/>
        <v/>
      </c>
      <c r="H53" s="8" t="str">
        <f t="shared" si="8"/>
        <v/>
      </c>
      <c r="I53" s="8" t="str">
        <f t="shared" si="9"/>
        <v/>
      </c>
    </row>
    <row r="54" spans="1:9">
      <c r="A54" s="219" t="s">
        <v>56</v>
      </c>
      <c r="B54" s="220"/>
      <c r="C54" s="214"/>
      <c r="D54" s="214"/>
      <c r="E54" s="220"/>
      <c r="G54" s="8" t="str">
        <f t="shared" si="7"/>
        <v/>
      </c>
      <c r="H54" s="8" t="str">
        <f t="shared" si="8"/>
        <v/>
      </c>
      <c r="I54" s="8" t="str">
        <f t="shared" si="9"/>
        <v/>
      </c>
    </row>
    <row r="55" spans="1:9">
      <c r="A55" s="219" t="s">
        <v>57</v>
      </c>
      <c r="B55" s="220"/>
      <c r="C55" s="214"/>
      <c r="D55" s="214"/>
      <c r="E55" s="220"/>
      <c r="G55" s="8" t="str">
        <f t="shared" si="7"/>
        <v/>
      </c>
      <c r="H55" s="8" t="str">
        <f t="shared" si="8"/>
        <v/>
      </c>
      <c r="I55" s="8" t="str">
        <f t="shared" si="9"/>
        <v/>
      </c>
    </row>
    <row r="56" spans="1:9">
      <c r="A56" s="219" t="s">
        <v>58</v>
      </c>
      <c r="B56" s="220"/>
      <c r="C56" s="214"/>
      <c r="D56" s="214"/>
      <c r="E56" s="220"/>
      <c r="G56" s="8" t="str">
        <f t="shared" si="7"/>
        <v/>
      </c>
      <c r="H56" s="8" t="str">
        <f t="shared" si="8"/>
        <v/>
      </c>
      <c r="I56" s="8" t="str">
        <f t="shared" si="9"/>
        <v/>
      </c>
    </row>
    <row r="57" spans="1:9">
      <c r="A57" s="219" t="s">
        <v>59</v>
      </c>
      <c r="B57" s="220"/>
      <c r="C57" s="214"/>
      <c r="D57" s="214"/>
      <c r="E57" s="220"/>
      <c r="G57" s="8" t="str">
        <f t="shared" si="7"/>
        <v/>
      </c>
      <c r="H57" s="8" t="str">
        <f t="shared" si="8"/>
        <v/>
      </c>
      <c r="I57" s="8" t="str">
        <f t="shared" si="9"/>
        <v/>
      </c>
    </row>
    <row r="58" spans="1:9">
      <c r="A58" s="219" t="s">
        <v>1644</v>
      </c>
      <c r="B58" s="220"/>
      <c r="C58" s="214"/>
      <c r="D58" s="214"/>
      <c r="E58" s="220"/>
      <c r="G58" s="8" t="str">
        <f t="shared" si="7"/>
        <v/>
      </c>
      <c r="H58" s="8" t="str">
        <f t="shared" si="8"/>
        <v/>
      </c>
      <c r="I58" s="8" t="str">
        <f t="shared" si="9"/>
        <v/>
      </c>
    </row>
    <row r="59" spans="1:9">
      <c r="A59" s="215" t="s">
        <v>60</v>
      </c>
      <c r="B59" s="216">
        <f>SUM(B54:B58)+B62</f>
        <v>0</v>
      </c>
      <c r="C59" s="216">
        <f>SUM(C54:C58)+C62</f>
        <v>0</v>
      </c>
      <c r="D59" s="217">
        <f>SUM(D54:D58)+D62</f>
        <v>0</v>
      </c>
      <c r="E59" s="216">
        <f>SUM(E54:E58)+E62</f>
        <v>0</v>
      </c>
      <c r="G59" s="8" t="str">
        <f t="shared" si="7"/>
        <v/>
      </c>
      <c r="H59" s="8" t="str">
        <f t="shared" si="8"/>
        <v/>
      </c>
      <c r="I59" s="8" t="str">
        <f t="shared" si="9"/>
        <v/>
      </c>
    </row>
    <row r="60" spans="1:9">
      <c r="A60" s="215" t="s">
        <v>61</v>
      </c>
      <c r="B60" s="216">
        <f>SUM(B61:B64)+B54-B63</f>
        <v>0</v>
      </c>
      <c r="C60" s="216">
        <f>SUM(C61:C64)+C54-C63</f>
        <v>0</v>
      </c>
      <c r="D60" s="217">
        <f>SUM(D61:D64)+D54-D63</f>
        <v>0</v>
      </c>
      <c r="E60" s="216">
        <f>SUM(E61:E64)+E54-E63</f>
        <v>0</v>
      </c>
      <c r="G60" s="8" t="str">
        <f t="shared" si="7"/>
        <v/>
      </c>
      <c r="H60" s="8" t="str">
        <f t="shared" si="8"/>
        <v/>
      </c>
      <c r="I60" s="8" t="str">
        <f t="shared" si="9"/>
        <v/>
      </c>
    </row>
    <row r="61" spans="1:9">
      <c r="A61" s="219" t="s">
        <v>62</v>
      </c>
      <c r="B61" s="220"/>
      <c r="C61" s="214"/>
      <c r="D61" s="214"/>
      <c r="E61" s="220"/>
      <c r="G61" s="8" t="str">
        <f t="shared" si="7"/>
        <v/>
      </c>
      <c r="H61" s="8" t="str">
        <f t="shared" si="8"/>
        <v/>
      </c>
      <c r="I61" s="8" t="str">
        <f t="shared" si="9"/>
        <v/>
      </c>
    </row>
    <row r="62" spans="1:9">
      <c r="A62" s="219" t="s">
        <v>63</v>
      </c>
      <c r="B62" s="220"/>
      <c r="C62" s="214"/>
      <c r="D62" s="214"/>
      <c r="E62" s="220"/>
      <c r="G62" s="8" t="str">
        <f t="shared" si="7"/>
        <v/>
      </c>
      <c r="H62" s="8" t="str">
        <f t="shared" si="8"/>
        <v/>
      </c>
      <c r="I62" s="8" t="str">
        <f t="shared" si="9"/>
        <v/>
      </c>
    </row>
    <row r="63" spans="1:9">
      <c r="A63" s="219" t="s">
        <v>64</v>
      </c>
      <c r="B63" s="220"/>
      <c r="C63" s="214"/>
      <c r="D63" s="214"/>
      <c r="E63" s="220"/>
      <c r="G63" s="8" t="str">
        <f t="shared" si="7"/>
        <v/>
      </c>
      <c r="H63" s="8" t="str">
        <f t="shared" si="8"/>
        <v/>
      </c>
      <c r="I63" s="8" t="str">
        <f t="shared" si="9"/>
        <v/>
      </c>
    </row>
    <row r="64" spans="1:9">
      <c r="A64" s="219" t="s">
        <v>65</v>
      </c>
      <c r="B64" s="220"/>
      <c r="C64" s="214"/>
      <c r="D64" s="214"/>
      <c r="E64" s="220"/>
      <c r="G64" s="8" t="str">
        <f t="shared" si="7"/>
        <v/>
      </c>
      <c r="H64" s="8" t="str">
        <f t="shared" si="8"/>
        <v/>
      </c>
      <c r="I64" s="8" t="str">
        <f t="shared" si="9"/>
        <v/>
      </c>
    </row>
    <row r="65" spans="1:9">
      <c r="A65" s="215" t="s">
        <v>66</v>
      </c>
      <c r="B65" s="216">
        <f>B60+B59-B54-B62</f>
        <v>0</v>
      </c>
      <c r="C65" s="216">
        <f>C60+C59-C54-C62</f>
        <v>0</v>
      </c>
      <c r="D65" s="217">
        <f>D60+D59-D54-D62</f>
        <v>0</v>
      </c>
      <c r="E65" s="216">
        <f>E60+E59-E54-E62</f>
        <v>0</v>
      </c>
      <c r="G65" s="8" t="str">
        <f t="shared" si="7"/>
        <v/>
      </c>
      <c r="H65" s="8" t="str">
        <f t="shared" si="8"/>
        <v/>
      </c>
      <c r="I65" s="8" t="str">
        <f t="shared" si="9"/>
        <v/>
      </c>
    </row>
    <row r="66" spans="1:9">
      <c r="A66" s="215" t="s">
        <v>67</v>
      </c>
      <c r="B66" s="216">
        <f>B51+B59+B52+B60-B54-B62+B50+B63</f>
        <v>0</v>
      </c>
      <c r="C66" s="216">
        <f>C51+C59+C52+C60-C54-C62+C50+C63</f>
        <v>0</v>
      </c>
      <c r="D66" s="217">
        <f>D51+D59+D52+D60-D54-D62+D50+D63</f>
        <v>0</v>
      </c>
      <c r="E66" s="216">
        <f>E51+E59+E52+E60-E54-E62+E50+E63</f>
        <v>0</v>
      </c>
      <c r="G66" s="8" t="str">
        <f t="shared" si="7"/>
        <v/>
      </c>
      <c r="H66" s="8" t="str">
        <f t="shared" si="8"/>
        <v/>
      </c>
      <c r="I66" s="8" t="str">
        <f t="shared" si="9"/>
        <v/>
      </c>
    </row>
    <row r="67" spans="1:9">
      <c r="A67" s="201"/>
      <c r="B67" s="202"/>
      <c r="C67" s="202"/>
      <c r="D67" s="202"/>
      <c r="E67" s="202"/>
      <c r="G67" s="9"/>
      <c r="H67" s="9"/>
      <c r="I67" s="9"/>
    </row>
    <row r="68" spans="1:9">
      <c r="A68" s="212" t="s">
        <v>1645</v>
      </c>
      <c r="B68" s="211">
        <f>B47</f>
        <v>43555</v>
      </c>
      <c r="C68" s="211">
        <f>C47</f>
        <v>43921</v>
      </c>
      <c r="D68" s="211">
        <f>D47</f>
        <v>44286</v>
      </c>
      <c r="E68" s="211">
        <f>E47</f>
        <v>44651</v>
      </c>
      <c r="G68" s="7">
        <f>G47</f>
        <v>43921</v>
      </c>
      <c r="H68" s="7">
        <f>H47</f>
        <v>44286</v>
      </c>
      <c r="I68" s="7">
        <f>I47</f>
        <v>44651</v>
      </c>
    </row>
    <row r="69" spans="1:9">
      <c r="A69" s="219" t="s">
        <v>68</v>
      </c>
      <c r="B69" s="220"/>
      <c r="C69" s="214"/>
      <c r="D69" s="214"/>
      <c r="E69" s="220"/>
      <c r="G69" s="8" t="str">
        <f t="shared" ref="G69:G92" si="10">IF(OR(B69=0,C69=0),"",(C69-B69)/B69)</f>
        <v/>
      </c>
      <c r="H69" s="8" t="str">
        <f t="shared" ref="H69:H92" si="11">IF(OR(C69=0,D69=0),"",(D69-C69)/C69)</f>
        <v/>
      </c>
      <c r="I69" s="8" t="str">
        <f t="shared" ref="I69:I92" si="12">IF(OR(D69=0,E69=0),"",(E69-D69)/D69)</f>
        <v/>
      </c>
    </row>
    <row r="70" spans="1:9">
      <c r="A70" s="219" t="s">
        <v>69</v>
      </c>
      <c r="B70" s="220"/>
      <c r="C70" s="214"/>
      <c r="D70" s="214"/>
      <c r="E70" s="220"/>
      <c r="G70" s="8" t="str">
        <f t="shared" si="10"/>
        <v/>
      </c>
      <c r="H70" s="8" t="str">
        <f t="shared" si="11"/>
        <v/>
      </c>
      <c r="I70" s="8" t="str">
        <f t="shared" si="12"/>
        <v/>
      </c>
    </row>
    <row r="71" spans="1:9">
      <c r="A71" s="219" t="s">
        <v>70</v>
      </c>
      <c r="B71" s="220"/>
      <c r="C71" s="214"/>
      <c r="D71" s="214"/>
      <c r="E71" s="220"/>
      <c r="G71" s="8" t="str">
        <f t="shared" si="10"/>
        <v/>
      </c>
      <c r="H71" s="8" t="str">
        <f t="shared" si="11"/>
        <v/>
      </c>
      <c r="I71" s="8" t="str">
        <f t="shared" si="12"/>
        <v/>
      </c>
    </row>
    <row r="72" spans="1:9">
      <c r="A72" s="219" t="s">
        <v>1646</v>
      </c>
      <c r="B72" s="220"/>
      <c r="C72" s="214"/>
      <c r="D72" s="214"/>
      <c r="E72" s="220"/>
      <c r="G72" s="8" t="str">
        <f t="shared" si="10"/>
        <v/>
      </c>
      <c r="H72" s="8" t="str">
        <f t="shared" si="11"/>
        <v/>
      </c>
      <c r="I72" s="8" t="str">
        <f t="shared" si="12"/>
        <v/>
      </c>
    </row>
    <row r="73" spans="1:9">
      <c r="A73" s="219" t="s">
        <v>1643</v>
      </c>
      <c r="B73" s="220"/>
      <c r="C73" s="214"/>
      <c r="D73" s="214"/>
      <c r="E73" s="220"/>
      <c r="G73" s="8" t="str">
        <f t="shared" si="10"/>
        <v/>
      </c>
      <c r="H73" s="8" t="str">
        <f t="shared" si="11"/>
        <v/>
      </c>
      <c r="I73" s="8" t="str">
        <f t="shared" si="12"/>
        <v/>
      </c>
    </row>
    <row r="74" spans="1:9">
      <c r="A74" s="215" t="s">
        <v>1647</v>
      </c>
      <c r="B74" s="216">
        <f>B69+B70-B71-B73+B72</f>
        <v>0</v>
      </c>
      <c r="C74" s="216">
        <f>C69+C70-C71-C73+C72</f>
        <v>0</v>
      </c>
      <c r="D74" s="217">
        <f>D69+D70-D71-D73+D72</f>
        <v>0</v>
      </c>
      <c r="E74" s="216">
        <f>E69+E70-E71-E73+E72</f>
        <v>0</v>
      </c>
      <c r="G74" s="8" t="str">
        <f t="shared" si="10"/>
        <v/>
      </c>
      <c r="H74" s="8" t="str">
        <f t="shared" si="11"/>
        <v/>
      </c>
      <c r="I74" s="8" t="str">
        <f t="shared" si="12"/>
        <v/>
      </c>
    </row>
    <row r="75" spans="1:9">
      <c r="A75" s="215" t="s">
        <v>71</v>
      </c>
      <c r="B75" s="216">
        <f>SUM(B76:B77)</f>
        <v>0</v>
      </c>
      <c r="C75" s="216">
        <f>SUM(C76:C77)</f>
        <v>0</v>
      </c>
      <c r="D75" s="217">
        <f>SUM(D76:D77)</f>
        <v>0</v>
      </c>
      <c r="E75" s="216">
        <f>SUM(E76:E77)</f>
        <v>0</v>
      </c>
      <c r="G75" s="8" t="str">
        <f t="shared" si="10"/>
        <v/>
      </c>
      <c r="H75" s="8" t="str">
        <f t="shared" si="11"/>
        <v/>
      </c>
      <c r="I75" s="8" t="str">
        <f t="shared" si="12"/>
        <v/>
      </c>
    </row>
    <row r="76" spans="1:9">
      <c r="A76" s="219" t="s">
        <v>72</v>
      </c>
      <c r="B76" s="220"/>
      <c r="C76" s="214"/>
      <c r="D76" s="214"/>
      <c r="E76" s="220"/>
      <c r="G76" s="8" t="str">
        <f t="shared" si="10"/>
        <v/>
      </c>
      <c r="H76" s="8" t="str">
        <f t="shared" si="11"/>
        <v/>
      </c>
      <c r="I76" s="8" t="str">
        <f t="shared" si="12"/>
        <v/>
      </c>
    </row>
    <row r="77" spans="1:9">
      <c r="A77" s="219" t="s">
        <v>73</v>
      </c>
      <c r="B77" s="220"/>
      <c r="C77" s="214"/>
      <c r="D77" s="214"/>
      <c r="E77" s="220"/>
      <c r="G77" s="8" t="str">
        <f t="shared" si="10"/>
        <v/>
      </c>
      <c r="H77" s="8" t="str">
        <f t="shared" si="11"/>
        <v/>
      </c>
      <c r="I77" s="8" t="str">
        <f t="shared" si="12"/>
        <v/>
      </c>
    </row>
    <row r="78" spans="1:9">
      <c r="A78" s="215" t="s">
        <v>74</v>
      </c>
      <c r="B78" s="216">
        <f>SUM(B79:B84)-B80-B83+B87</f>
        <v>0</v>
      </c>
      <c r="C78" s="216">
        <f>SUM(C79:C84)-C80-C83+C87</f>
        <v>0</v>
      </c>
      <c r="D78" s="217">
        <f>SUM(D79:D84)-D80-D83+D87</f>
        <v>0</v>
      </c>
      <c r="E78" s="216">
        <f>SUM(E79:E84)-E80-E83+E87</f>
        <v>0</v>
      </c>
      <c r="G78" s="8" t="str">
        <f t="shared" si="10"/>
        <v/>
      </c>
      <c r="H78" s="8" t="str">
        <f t="shared" si="11"/>
        <v/>
      </c>
      <c r="I78" s="8" t="str">
        <f t="shared" si="12"/>
        <v/>
      </c>
    </row>
    <row r="79" spans="1:9">
      <c r="A79" s="219" t="s">
        <v>75</v>
      </c>
      <c r="B79" s="220"/>
      <c r="C79" s="214"/>
      <c r="D79" s="214"/>
      <c r="E79" s="220"/>
      <c r="G79" s="8" t="str">
        <f t="shared" si="10"/>
        <v/>
      </c>
      <c r="H79" s="8" t="str">
        <f t="shared" si="11"/>
        <v/>
      </c>
      <c r="I79" s="8" t="str">
        <f t="shared" si="12"/>
        <v/>
      </c>
    </row>
    <row r="80" spans="1:9">
      <c r="A80" s="219" t="s">
        <v>76</v>
      </c>
      <c r="B80" s="220"/>
      <c r="C80" s="214"/>
      <c r="D80" s="214"/>
      <c r="E80" s="220"/>
      <c r="G80" s="8" t="str">
        <f t="shared" si="10"/>
        <v/>
      </c>
      <c r="H80" s="8" t="str">
        <f t="shared" si="11"/>
        <v/>
      </c>
      <c r="I80" s="8" t="str">
        <f t="shared" si="12"/>
        <v/>
      </c>
    </row>
    <row r="81" spans="1:9">
      <c r="A81" s="219" t="s">
        <v>77</v>
      </c>
      <c r="B81" s="220"/>
      <c r="C81" s="214"/>
      <c r="D81" s="214"/>
      <c r="E81" s="220"/>
      <c r="G81" s="8" t="str">
        <f t="shared" si="10"/>
        <v/>
      </c>
      <c r="H81" s="8" t="str">
        <f t="shared" si="11"/>
        <v/>
      </c>
      <c r="I81" s="8" t="str">
        <f t="shared" si="12"/>
        <v/>
      </c>
    </row>
    <row r="82" spans="1:9">
      <c r="A82" s="219" t="s">
        <v>78</v>
      </c>
      <c r="B82" s="220"/>
      <c r="C82" s="214"/>
      <c r="D82" s="214"/>
      <c r="E82" s="220"/>
      <c r="G82" s="8" t="str">
        <f t="shared" si="10"/>
        <v/>
      </c>
      <c r="H82" s="8" t="str">
        <f t="shared" si="11"/>
        <v/>
      </c>
      <c r="I82" s="8" t="str">
        <f t="shared" si="12"/>
        <v/>
      </c>
    </row>
    <row r="83" spans="1:9">
      <c r="A83" s="219" t="s">
        <v>79</v>
      </c>
      <c r="B83" s="220"/>
      <c r="C83" s="214"/>
      <c r="D83" s="214"/>
      <c r="E83" s="220"/>
      <c r="G83" s="8" t="str">
        <f t="shared" si="10"/>
        <v/>
      </c>
      <c r="H83" s="8" t="str">
        <f t="shared" si="11"/>
        <v/>
      </c>
      <c r="I83" s="8" t="str">
        <f t="shared" si="12"/>
        <v/>
      </c>
    </row>
    <row r="84" spans="1:9">
      <c r="A84" s="219" t="s">
        <v>80</v>
      </c>
      <c r="B84" s="220"/>
      <c r="C84" s="214"/>
      <c r="D84" s="214"/>
      <c r="E84" s="220"/>
      <c r="G84" s="8" t="str">
        <f t="shared" si="10"/>
        <v/>
      </c>
      <c r="H84" s="8" t="str">
        <f t="shared" si="11"/>
        <v/>
      </c>
      <c r="I84" s="8" t="str">
        <f t="shared" si="12"/>
        <v/>
      </c>
    </row>
    <row r="85" spans="1:9">
      <c r="A85" s="215" t="s">
        <v>81</v>
      </c>
      <c r="B85" s="216">
        <f>SUM(B86:B88)</f>
        <v>0</v>
      </c>
      <c r="C85" s="216">
        <f>SUM(C86:C88)</f>
        <v>0</v>
      </c>
      <c r="D85" s="217">
        <f>SUM(D86:D88)</f>
        <v>0</v>
      </c>
      <c r="E85" s="216">
        <f>SUM(E86:E88)</f>
        <v>0</v>
      </c>
      <c r="G85" s="8" t="str">
        <f t="shared" si="10"/>
        <v/>
      </c>
      <c r="H85" s="8" t="str">
        <f t="shared" si="11"/>
        <v/>
      </c>
      <c r="I85" s="8" t="str">
        <f t="shared" si="12"/>
        <v/>
      </c>
    </row>
    <row r="86" spans="1:9">
      <c r="A86" s="219" t="s">
        <v>1648</v>
      </c>
      <c r="B86" s="220"/>
      <c r="C86" s="214"/>
      <c r="D86" s="214"/>
      <c r="E86" s="220"/>
      <c r="G86" s="8" t="str">
        <f t="shared" si="10"/>
        <v/>
      </c>
      <c r="H86" s="8" t="str">
        <f t="shared" si="11"/>
        <v/>
      </c>
      <c r="I86" s="8" t="str">
        <f t="shared" si="12"/>
        <v/>
      </c>
    </row>
    <row r="87" spans="1:9">
      <c r="A87" s="219" t="s">
        <v>1649</v>
      </c>
      <c r="B87" s="220"/>
      <c r="C87" s="214"/>
      <c r="D87" s="214"/>
      <c r="E87" s="220"/>
      <c r="G87" s="8" t="str">
        <f t="shared" si="10"/>
        <v/>
      </c>
      <c r="H87" s="8" t="str">
        <f t="shared" si="11"/>
        <v/>
      </c>
      <c r="I87" s="8" t="str">
        <f t="shared" si="12"/>
        <v/>
      </c>
    </row>
    <row r="88" spans="1:9">
      <c r="A88" s="219" t="s">
        <v>82</v>
      </c>
      <c r="B88" s="220"/>
      <c r="C88" s="214"/>
      <c r="D88" s="214"/>
      <c r="E88" s="220"/>
      <c r="G88" s="8" t="str">
        <f t="shared" si="10"/>
        <v/>
      </c>
      <c r="H88" s="8" t="str">
        <f t="shared" si="11"/>
        <v/>
      </c>
      <c r="I88" s="8" t="str">
        <f t="shared" si="12"/>
        <v/>
      </c>
    </row>
    <row r="89" spans="1:9">
      <c r="A89" s="219" t="s">
        <v>1650</v>
      </c>
      <c r="B89" s="220"/>
      <c r="C89" s="214"/>
      <c r="D89" s="214"/>
      <c r="E89" s="220"/>
      <c r="G89" s="8" t="str">
        <f t="shared" si="10"/>
        <v/>
      </c>
      <c r="H89" s="8" t="str">
        <f t="shared" si="11"/>
        <v/>
      </c>
      <c r="I89" s="8" t="str">
        <f t="shared" si="12"/>
        <v/>
      </c>
    </row>
    <row r="90" spans="1:9">
      <c r="A90" s="219" t="s">
        <v>83</v>
      </c>
      <c r="B90" s="220"/>
      <c r="C90" s="214"/>
      <c r="D90" s="214"/>
      <c r="E90" s="220"/>
      <c r="G90" s="8" t="str">
        <f t="shared" si="10"/>
        <v/>
      </c>
      <c r="H90" s="8" t="str">
        <f t="shared" si="11"/>
        <v/>
      </c>
      <c r="I90" s="8" t="str">
        <f t="shared" si="12"/>
        <v/>
      </c>
    </row>
    <row r="91" spans="1:9">
      <c r="A91" s="219" t="s">
        <v>1651</v>
      </c>
      <c r="B91" s="220"/>
      <c r="C91" s="214"/>
      <c r="D91" s="214"/>
      <c r="E91" s="220"/>
      <c r="G91" s="8" t="str">
        <f t="shared" si="10"/>
        <v/>
      </c>
      <c r="H91" s="8" t="str">
        <f t="shared" si="11"/>
        <v/>
      </c>
      <c r="I91" s="8" t="str">
        <f t="shared" si="12"/>
        <v/>
      </c>
    </row>
    <row r="92" spans="1:9">
      <c r="A92" s="215" t="s">
        <v>84</v>
      </c>
      <c r="B92" s="216">
        <f>B74+B75+B78+B85+B83+B90-B87+B80+B89</f>
        <v>0</v>
      </c>
      <c r="C92" s="216">
        <f>C74+C75+C78+C85+C83+C90-C87+C80+C89</f>
        <v>0</v>
      </c>
      <c r="D92" s="217">
        <f>D74+D75+D78+D85+D83+D90-D87+D80+D89</f>
        <v>0</v>
      </c>
      <c r="E92" s="216">
        <f>E74+E75+E78+E85+E83+E90-E87+E80+E89</f>
        <v>0</v>
      </c>
      <c r="G92" s="8" t="str">
        <f t="shared" si="10"/>
        <v/>
      </c>
      <c r="H92" s="8" t="str">
        <f t="shared" si="11"/>
        <v/>
      </c>
      <c r="I92" s="8" t="str">
        <f t="shared" si="12"/>
        <v/>
      </c>
    </row>
    <row r="93" spans="1:9">
      <c r="A93" s="221" t="s">
        <v>85</v>
      </c>
      <c r="B93" s="222">
        <f>B66-B92</f>
        <v>0</v>
      </c>
      <c r="C93" s="222">
        <f>C66-C92</f>
        <v>0</v>
      </c>
      <c r="D93" s="223">
        <f>D66-D92</f>
        <v>0</v>
      </c>
      <c r="E93" s="222">
        <f>E66-E92</f>
        <v>0</v>
      </c>
      <c r="G93" s="671"/>
      <c r="H93" s="672"/>
      <c r="I93" s="673"/>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Audited and Filed</v>
      </c>
      <c r="G95" s="674" t="s">
        <v>87</v>
      </c>
      <c r="H95" s="674"/>
      <c r="I95" s="674"/>
    </row>
    <row r="96" spans="1:9">
      <c r="A96" s="224" t="s">
        <v>88</v>
      </c>
      <c r="B96" s="228"/>
      <c r="C96" s="228">
        <f>IFERROR((C5-B5)/B5,0)</f>
        <v>0</v>
      </c>
      <c r="D96" s="228">
        <f>IFERROR((D5-C5)/C5,0)</f>
        <v>0</v>
      </c>
      <c r="E96" s="228">
        <f>IFERROR((E5-D5)/D5,0)</f>
        <v>0</v>
      </c>
      <c r="G96" s="665"/>
      <c r="H96" s="665"/>
      <c r="I96" s="665"/>
    </row>
    <row r="97" spans="1:9">
      <c r="A97" s="224" t="s">
        <v>89</v>
      </c>
      <c r="B97" s="228">
        <f>IFERROR(B40/(B5+B6),0)</f>
        <v>0</v>
      </c>
      <c r="C97" s="228">
        <f>IFERROR(C40/(C5+C6),0)</f>
        <v>0</v>
      </c>
      <c r="D97" s="228">
        <f>IFERROR(D40/(D5+D6),0)</f>
        <v>0</v>
      </c>
      <c r="E97" s="228">
        <f>IFERROR(E40/(E5+E6),0)</f>
        <v>0</v>
      </c>
      <c r="G97" s="665"/>
      <c r="H97" s="665"/>
      <c r="I97" s="665"/>
    </row>
    <row r="98" spans="1:9">
      <c r="A98" s="224" t="s">
        <v>90</v>
      </c>
      <c r="B98" s="228">
        <f>IFERROR(B42/(B5+B6),0)</f>
        <v>0</v>
      </c>
      <c r="C98" s="228">
        <f>IFERROR(C42/(C5+C6),0)</f>
        <v>0</v>
      </c>
      <c r="D98" s="228">
        <f>IFERROR(D42/(D5+D6),0)</f>
        <v>0</v>
      </c>
      <c r="E98" s="228">
        <f>IFERROR(E42/(E5+E6),0)</f>
        <v>0</v>
      </c>
      <c r="G98" s="665"/>
      <c r="H98" s="665"/>
      <c r="I98" s="665"/>
    </row>
    <row r="99" spans="1:9">
      <c r="A99" s="224" t="s">
        <v>1652</v>
      </c>
      <c r="B99" s="228">
        <f>IFERROR(B23/(B5+B6),0)</f>
        <v>0</v>
      </c>
      <c r="C99" s="228">
        <f>IFERROR(C23/(C5+C6),0)</f>
        <v>0</v>
      </c>
      <c r="D99" s="228">
        <f>IFERROR(D23/(D5+D6),0)</f>
        <v>0</v>
      </c>
      <c r="E99" s="228">
        <f>IFERROR(E23/(E5+E6),0)</f>
        <v>0</v>
      </c>
      <c r="G99" s="665"/>
      <c r="H99" s="665"/>
      <c r="I99" s="665"/>
    </row>
    <row r="100" spans="1:9">
      <c r="A100" s="224" t="s">
        <v>1653</v>
      </c>
      <c r="B100" s="228">
        <f>IFERROR(B29/(B5+B6),0)</f>
        <v>0</v>
      </c>
      <c r="C100" s="228">
        <f>IFERROR(C29/(C5+C6),0)</f>
        <v>0</v>
      </c>
      <c r="D100" s="228">
        <f>IFERROR(D29/(D5+D6),0)</f>
        <v>0</v>
      </c>
      <c r="E100" s="228">
        <f>IFERROR(E29/(E5+E6),0)</f>
        <v>0</v>
      </c>
      <c r="G100" s="665"/>
      <c r="H100" s="665"/>
      <c r="I100" s="665"/>
    </row>
    <row r="101" spans="1:9">
      <c r="A101" s="224" t="s">
        <v>91</v>
      </c>
      <c r="B101" s="225">
        <f>IFERROR((B59-B54-B58+B62)/B53,0)</f>
        <v>0</v>
      </c>
      <c r="C101" s="225">
        <f t="shared" ref="C101:E101" si="13">IFERROR((C59-C54-C58+C62)/C53,0)</f>
        <v>0</v>
      </c>
      <c r="D101" s="225">
        <f t="shared" si="13"/>
        <v>0</v>
      </c>
      <c r="E101" s="225">
        <f t="shared" si="13"/>
        <v>0</v>
      </c>
      <c r="G101" s="665"/>
      <c r="H101" s="665"/>
      <c r="I101" s="665"/>
    </row>
    <row r="102" spans="1:9">
      <c r="A102" s="224" t="s">
        <v>92</v>
      </c>
      <c r="B102" s="225">
        <f>IFERROR(B65/B53,0)</f>
        <v>0</v>
      </c>
      <c r="C102" s="225">
        <f>IFERROR(C65/C53,0)</f>
        <v>0</v>
      </c>
      <c r="D102" s="225">
        <f>IFERROR(D65/D53,0)</f>
        <v>0</v>
      </c>
      <c r="E102" s="225">
        <f>IFERROR(E65/E53,0)</f>
        <v>0</v>
      </c>
      <c r="G102" s="665"/>
      <c r="H102" s="665"/>
      <c r="I102" s="665"/>
    </row>
    <row r="103" spans="1:9">
      <c r="A103" s="224" t="s">
        <v>93</v>
      </c>
      <c r="B103" s="225">
        <f>IFERROR(B29/(B25+B26+B27),0)</f>
        <v>0</v>
      </c>
      <c r="C103" s="225">
        <f>IFERROR(C29/(C25+C26+C27),0)</f>
        <v>0</v>
      </c>
      <c r="D103" s="225">
        <f>IFERROR(D29/(D25+D26+D27),0)</f>
        <v>0</v>
      </c>
      <c r="E103" s="225">
        <f>IFERROR(E29/(E25+E26+E27),0)</f>
        <v>0</v>
      </c>
      <c r="G103" s="665"/>
      <c r="H103" s="665"/>
      <c r="I103" s="665"/>
    </row>
    <row r="104" spans="1:9">
      <c r="A104" s="224" t="s">
        <v>94</v>
      </c>
      <c r="B104" s="225">
        <f>IFERROR((B80+B81)/(B5)*365,0)</f>
        <v>0</v>
      </c>
      <c r="C104" s="225">
        <f>IFERROR((C80+C81)/(C5)*365,0)</f>
        <v>0</v>
      </c>
      <c r="D104" s="225">
        <f>IFERROR((D80+D81)/(D5)*365,0)</f>
        <v>0</v>
      </c>
      <c r="E104" s="225">
        <f>IFERROR((E80+E81)/(E5)*365,0)</f>
        <v>0</v>
      </c>
      <c r="G104" s="665"/>
      <c r="H104" s="665"/>
      <c r="I104" s="665"/>
    </row>
    <row r="105" spans="1:9">
      <c r="A105" s="224" t="s">
        <v>95</v>
      </c>
      <c r="B105" s="225">
        <f>IFERROR(IF(B9=0,0,B79/B9*365),0)</f>
        <v>0</v>
      </c>
      <c r="C105" s="225">
        <f>IFERROR(IF(C9=0,0,C79/C9*365),0)</f>
        <v>0</v>
      </c>
      <c r="D105" s="225">
        <f>IFERROR(IF(D9=0,0,D79/D9*365),0)</f>
        <v>0</v>
      </c>
      <c r="E105" s="225">
        <f>IFERROR(IF(E9=0,0,E79/E9*365),0)</f>
        <v>0</v>
      </c>
      <c r="G105" s="665"/>
      <c r="H105" s="665"/>
      <c r="I105" s="665"/>
    </row>
    <row r="106" spans="1:9">
      <c r="A106" s="224" t="s">
        <v>96</v>
      </c>
      <c r="B106" s="225">
        <f>IFERROR(IF(B9=0,0,B61/B11*365),0)</f>
        <v>0</v>
      </c>
      <c r="C106" s="225">
        <f>IFERROR(IF(C9=0,0,C61/C11*365),0)</f>
        <v>0</v>
      </c>
      <c r="D106" s="225">
        <f>IFERROR(IF(D9=0,0,D61/D11*365),0)</f>
        <v>0</v>
      </c>
      <c r="E106" s="225">
        <f>IFERROR(IF(E9=0,0,E61/E11*365),0)</f>
        <v>0</v>
      </c>
      <c r="G106" s="665"/>
      <c r="H106" s="665"/>
      <c r="I106" s="665"/>
    </row>
    <row r="107" spans="1:9">
      <c r="A107" s="224" t="s">
        <v>97</v>
      </c>
      <c r="B107" s="225">
        <f>IFERROR(B104+B105-B106,0)</f>
        <v>0</v>
      </c>
      <c r="C107" s="225">
        <f>IFERROR(C104+C105-C106,0)</f>
        <v>0</v>
      </c>
      <c r="D107" s="225">
        <f>IFERROR(D104+D105-D106,0)</f>
        <v>0</v>
      </c>
      <c r="E107" s="225">
        <f>IFERROR(E104+E105-E106,0)</f>
        <v>0</v>
      </c>
      <c r="G107" s="665"/>
      <c r="H107" s="665"/>
      <c r="I107" s="665"/>
    </row>
    <row r="108" spans="1:9">
      <c r="A108" s="224" t="s">
        <v>1654</v>
      </c>
      <c r="B108" s="225">
        <f>IFERROR(B78-B60,0)</f>
        <v>0</v>
      </c>
      <c r="C108" s="225">
        <f>IFERROR(C78-C60,0)</f>
        <v>0</v>
      </c>
      <c r="D108" s="225">
        <f>IFERROR(D78-D60,0)</f>
        <v>0</v>
      </c>
      <c r="E108" s="225">
        <f>IFERROR(E78-E60,0)</f>
        <v>0</v>
      </c>
      <c r="G108" s="665"/>
      <c r="H108" s="665"/>
      <c r="I108" s="665"/>
    </row>
    <row r="109" spans="1:9">
      <c r="A109" s="224" t="s">
        <v>98</v>
      </c>
      <c r="B109" s="225">
        <f>IFERROR((B78-B84-B83+B86)/B60,0)</f>
        <v>0</v>
      </c>
      <c r="C109" s="225">
        <f>IFERROR((C78-C84-C83+C86)/C60,0)</f>
        <v>0</v>
      </c>
      <c r="D109" s="225">
        <f>IFERROR((D78-D84-D83+D86)/D60,0)</f>
        <v>0</v>
      </c>
      <c r="E109" s="225">
        <f>IFERROR((E78-E84-E83+E86)/E60,0)</f>
        <v>0</v>
      </c>
      <c r="G109" s="665"/>
      <c r="H109" s="665"/>
      <c r="I109" s="665"/>
    </row>
    <row r="110" spans="1:9">
      <c r="A110" s="224" t="s">
        <v>1655</v>
      </c>
      <c r="B110" s="225">
        <f>IFERROR((B78-B84-B83+B86+B80)/B60,0)</f>
        <v>0</v>
      </c>
      <c r="C110" s="225">
        <f>IFERROR((C78-C84-C83+C86+C80)/C60,0)</f>
        <v>0</v>
      </c>
      <c r="D110" s="225">
        <f>IFERROR((D78-D84-D83+D86+D80)/D60,0)</f>
        <v>0</v>
      </c>
      <c r="E110" s="225">
        <f>IFERROR((E78-E84-E83+E86+E80)/E60,0)</f>
        <v>0</v>
      </c>
      <c r="G110" s="665"/>
      <c r="H110" s="665"/>
      <c r="I110" s="665"/>
    </row>
    <row r="111" spans="1:9">
      <c r="A111" s="224" t="s">
        <v>1656</v>
      </c>
      <c r="B111" s="225">
        <f>IFERROR((B59-B54-B58+B62)/B23,0)</f>
        <v>0</v>
      </c>
      <c r="C111" s="225">
        <f t="shared" ref="C111:E111" si="14">IFERROR((C59-C54-C58+C62)/C23,0)</f>
        <v>0</v>
      </c>
      <c r="D111" s="225">
        <f t="shared" si="14"/>
        <v>0</v>
      </c>
      <c r="E111" s="225">
        <f t="shared" si="14"/>
        <v>0</v>
      </c>
      <c r="G111" s="665"/>
      <c r="H111" s="665"/>
      <c r="I111" s="665"/>
    </row>
    <row r="112" spans="1:9">
      <c r="A112" s="224" t="s">
        <v>99</v>
      </c>
      <c r="B112" s="225">
        <f>IFERROR(ROUNDUP(B59/B53,2),0)</f>
        <v>0</v>
      </c>
      <c r="C112" s="225">
        <f t="shared" ref="C112:E112" si="15">IFERROR(ROUNDUP(C59/C53,2),0)</f>
        <v>0</v>
      </c>
      <c r="D112" s="225">
        <f t="shared" si="15"/>
        <v>0</v>
      </c>
      <c r="E112" s="225">
        <f t="shared" si="15"/>
        <v>0</v>
      </c>
      <c r="G112" s="665"/>
      <c r="H112" s="665"/>
      <c r="I112" s="665"/>
    </row>
    <row r="113" spans="1:9">
      <c r="A113" s="224" t="s">
        <v>1657</v>
      </c>
      <c r="B113" s="225">
        <f>IFERROR((B23-B38)/(B24+B62),0)</f>
        <v>0</v>
      </c>
      <c r="C113" s="225">
        <f t="shared" ref="C113:E113" si="16">IFERROR((C23-C38)/(C24+C62),0)</f>
        <v>0</v>
      </c>
      <c r="D113" s="225">
        <f t="shared" si="16"/>
        <v>0</v>
      </c>
      <c r="E113" s="225">
        <f t="shared" si="16"/>
        <v>0</v>
      </c>
      <c r="G113" s="665"/>
      <c r="H113" s="665"/>
      <c r="I113" s="665"/>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62"/>
      <c r="C116" s="226"/>
      <c r="D116" s="227"/>
      <c r="E116" s="226"/>
    </row>
    <row r="117" spans="1:9">
      <c r="A117" s="224" t="s">
        <v>102</v>
      </c>
      <c r="B117" s="663"/>
      <c r="C117" s="226">
        <f>C40</f>
        <v>0</v>
      </c>
      <c r="D117" s="227">
        <f>D40</f>
        <v>0</v>
      </c>
      <c r="E117" s="226">
        <f>E40</f>
        <v>0</v>
      </c>
    </row>
    <row r="118" spans="1:9">
      <c r="A118" s="224" t="s">
        <v>103</v>
      </c>
      <c r="B118" s="663"/>
      <c r="C118" s="226">
        <f>C31</f>
        <v>0</v>
      </c>
      <c r="D118" s="227">
        <f>D31</f>
        <v>0</v>
      </c>
      <c r="E118" s="226">
        <f>E31</f>
        <v>0</v>
      </c>
    </row>
    <row r="119" spans="1:9">
      <c r="A119" s="224" t="s">
        <v>1658</v>
      </c>
      <c r="B119" s="663"/>
      <c r="C119" s="226">
        <f>C71-B71-C31</f>
        <v>0</v>
      </c>
      <c r="D119" s="227">
        <f>D71-C71-D31</f>
        <v>0</v>
      </c>
      <c r="E119" s="226">
        <f>E71-D71-E31</f>
        <v>0</v>
      </c>
    </row>
    <row r="120" spans="1:9">
      <c r="A120" s="224" t="s">
        <v>1659</v>
      </c>
      <c r="B120" s="663"/>
      <c r="C120" s="226">
        <f t="shared" ref="C120:E121" si="17">C32</f>
        <v>0</v>
      </c>
      <c r="D120" s="227">
        <f t="shared" si="17"/>
        <v>0</v>
      </c>
      <c r="E120" s="226">
        <f t="shared" si="17"/>
        <v>0</v>
      </c>
    </row>
    <row r="121" spans="1:9">
      <c r="A121" s="224" t="s">
        <v>104</v>
      </c>
      <c r="B121" s="663"/>
      <c r="C121" s="226">
        <f t="shared" si="17"/>
        <v>0</v>
      </c>
      <c r="D121" s="227">
        <f t="shared" si="17"/>
        <v>0</v>
      </c>
      <c r="E121" s="226">
        <f t="shared" si="17"/>
        <v>0</v>
      </c>
    </row>
    <row r="122" spans="1:9">
      <c r="A122" s="224" t="s">
        <v>105</v>
      </c>
      <c r="B122" s="663"/>
      <c r="C122" s="226">
        <f>SUM(C117:C121)</f>
        <v>0</v>
      </c>
      <c r="D122" s="227">
        <f>SUM(D117:D121)</f>
        <v>0</v>
      </c>
      <c r="E122" s="226">
        <f>SUM(E117:E121)</f>
        <v>0</v>
      </c>
    </row>
    <row r="123" spans="1:9">
      <c r="A123" s="224" t="s">
        <v>106</v>
      </c>
      <c r="B123" s="663"/>
      <c r="C123" s="226">
        <f>(B78-B82)-(C78-C82)</f>
        <v>0</v>
      </c>
      <c r="D123" s="227">
        <f>(C78-C82)-(D78-D82)</f>
        <v>0</v>
      </c>
      <c r="E123" s="226">
        <f>(D78-D82)-(E78-E82)</f>
        <v>0</v>
      </c>
    </row>
    <row r="124" spans="1:9">
      <c r="A124" s="224" t="s">
        <v>1660</v>
      </c>
      <c r="B124" s="663"/>
      <c r="C124" s="226">
        <f>B89-C89</f>
        <v>0</v>
      </c>
      <c r="D124" s="227">
        <f>C89-D89</f>
        <v>0</v>
      </c>
      <c r="E124" s="226">
        <f>D89-E89</f>
        <v>0</v>
      </c>
    </row>
    <row r="125" spans="1:9">
      <c r="A125" s="224" t="s">
        <v>107</v>
      </c>
      <c r="B125" s="663"/>
      <c r="C125" s="226">
        <f>C60-B60</f>
        <v>0</v>
      </c>
      <c r="D125" s="227">
        <f>D60-C60</f>
        <v>0</v>
      </c>
      <c r="E125" s="226">
        <f>E60-D60</f>
        <v>0</v>
      </c>
    </row>
    <row r="126" spans="1:9">
      <c r="A126" s="224" t="s">
        <v>108</v>
      </c>
      <c r="B126" s="663"/>
      <c r="C126" s="216">
        <f>C122+C123+C125</f>
        <v>0</v>
      </c>
      <c r="D126" s="217">
        <f>D122+D123+D125</f>
        <v>0</v>
      </c>
      <c r="E126" s="216">
        <f>E122+E123+E125</f>
        <v>0</v>
      </c>
    </row>
    <row r="127" spans="1:9">
      <c r="A127" s="224" t="s">
        <v>109</v>
      </c>
      <c r="B127" s="663"/>
      <c r="C127" s="216">
        <f>C7</f>
        <v>0</v>
      </c>
      <c r="D127" s="217">
        <f>D7</f>
        <v>0</v>
      </c>
      <c r="E127" s="216">
        <f>E7</f>
        <v>0</v>
      </c>
    </row>
    <row r="128" spans="1:9">
      <c r="A128" s="224"/>
      <c r="B128" s="663"/>
      <c r="C128" s="226"/>
      <c r="D128" s="227"/>
      <c r="E128" s="226"/>
    </row>
    <row r="129" spans="1:5">
      <c r="A129" s="224" t="s">
        <v>110</v>
      </c>
      <c r="B129" s="663"/>
      <c r="C129" s="226"/>
      <c r="D129" s="227"/>
      <c r="E129" s="226"/>
    </row>
    <row r="130" spans="1:5">
      <c r="A130" s="224" t="s">
        <v>1661</v>
      </c>
      <c r="B130" s="663"/>
      <c r="C130" s="226">
        <f>B74+B71-C71-C74+B73-C73+B72-C72</f>
        <v>0</v>
      </c>
      <c r="D130" s="227">
        <f>C74+C71-D71-D74+C73-D73+C72-D72</f>
        <v>0</v>
      </c>
      <c r="E130" s="226">
        <f>D74+D71-E71-E74+D73-E73+D72-E72</f>
        <v>0</v>
      </c>
    </row>
    <row r="131" spans="1:5">
      <c r="A131" s="224" t="s">
        <v>1662</v>
      </c>
      <c r="B131" s="663"/>
      <c r="C131" s="226">
        <f>-(C80-B80+C83-B83+C86-B86)</f>
        <v>0</v>
      </c>
      <c r="D131" s="227">
        <f>-(D80-C80+D83-C83+D86-C86)</f>
        <v>0</v>
      </c>
      <c r="E131" s="226">
        <f>-(E80-D80+E83-D83+E86-D86)</f>
        <v>0</v>
      </c>
    </row>
    <row r="132" spans="1:5">
      <c r="A132" s="224" t="s">
        <v>1663</v>
      </c>
      <c r="B132" s="663"/>
      <c r="C132" s="226">
        <f>B88-C88</f>
        <v>0</v>
      </c>
      <c r="D132" s="227">
        <f>C88-D88</f>
        <v>0</v>
      </c>
      <c r="E132" s="226">
        <f>D88-E88</f>
        <v>0</v>
      </c>
    </row>
    <row r="133" spans="1:5">
      <c r="A133" s="224" t="s">
        <v>111</v>
      </c>
      <c r="B133" s="663"/>
      <c r="C133" s="216">
        <f>SUM(C130:C132)</f>
        <v>0</v>
      </c>
      <c r="D133" s="217">
        <f>SUM(D130:D132)</f>
        <v>0</v>
      </c>
      <c r="E133" s="216">
        <f>SUM(E130:E132)</f>
        <v>0</v>
      </c>
    </row>
    <row r="134" spans="1:5">
      <c r="A134" s="224"/>
      <c r="B134" s="663"/>
      <c r="C134" s="226"/>
      <c r="D134" s="227"/>
      <c r="E134" s="226"/>
    </row>
    <row r="135" spans="1:5">
      <c r="A135" s="224" t="s">
        <v>112</v>
      </c>
      <c r="B135" s="663"/>
      <c r="C135" s="226"/>
      <c r="D135" s="227"/>
      <c r="E135" s="226"/>
    </row>
    <row r="136" spans="1:5">
      <c r="A136" s="224" t="s">
        <v>113</v>
      </c>
      <c r="B136" s="663"/>
      <c r="C136" s="226">
        <f>C55-B55</f>
        <v>0</v>
      </c>
      <c r="D136" s="227">
        <f>D55-C55</f>
        <v>0</v>
      </c>
      <c r="E136" s="226">
        <f>E55-D55</f>
        <v>0</v>
      </c>
    </row>
    <row r="137" spans="1:5">
      <c r="A137" s="224" t="s">
        <v>114</v>
      </c>
      <c r="B137" s="663"/>
      <c r="C137" s="226">
        <f>C56+C57-B56-B57</f>
        <v>0</v>
      </c>
      <c r="D137" s="227">
        <f>D56+D57-C56-C57</f>
        <v>0</v>
      </c>
      <c r="E137" s="226">
        <f>E56+E57-D56-D57</f>
        <v>0</v>
      </c>
    </row>
    <row r="138" spans="1:5">
      <c r="A138" s="224" t="s">
        <v>115</v>
      </c>
      <c r="B138" s="663"/>
      <c r="C138" s="226">
        <f>(C51-C39)-B51</f>
        <v>0</v>
      </c>
      <c r="D138" s="227">
        <f>(D51-D39)-C51</f>
        <v>0</v>
      </c>
      <c r="E138" s="226">
        <f>(E51-E39)-D51</f>
        <v>0</v>
      </c>
    </row>
    <row r="139" spans="1:5">
      <c r="A139" s="224" t="s">
        <v>1664</v>
      </c>
      <c r="B139" s="663"/>
      <c r="C139" s="226">
        <f>C52-B52</f>
        <v>0</v>
      </c>
      <c r="D139" s="227">
        <f>D52-C52</f>
        <v>0</v>
      </c>
      <c r="E139" s="226">
        <f>E52-D52</f>
        <v>0</v>
      </c>
    </row>
    <row r="140" spans="1:5">
      <c r="A140" s="224" t="s">
        <v>116</v>
      </c>
      <c r="B140" s="663"/>
      <c r="C140" s="216">
        <f>SUM(C136:C139)</f>
        <v>0</v>
      </c>
      <c r="D140" s="217">
        <f>SUM(D136:D139)</f>
        <v>0</v>
      </c>
      <c r="E140" s="216">
        <f>SUM(E136:E139)</f>
        <v>0</v>
      </c>
    </row>
    <row r="141" spans="1:5">
      <c r="A141" s="224" t="s">
        <v>117</v>
      </c>
      <c r="B141" s="663"/>
      <c r="C141" s="216">
        <f>C126+C127+C133+C140</f>
        <v>0</v>
      </c>
      <c r="D141" s="217">
        <f>D126+D127+D133+D140</f>
        <v>0</v>
      </c>
      <c r="E141" s="216">
        <f>E126+E127+E133+E140</f>
        <v>0</v>
      </c>
    </row>
    <row r="142" spans="1:5">
      <c r="A142" s="224"/>
      <c r="B142" s="663"/>
      <c r="C142" s="226"/>
      <c r="D142" s="227"/>
      <c r="E142" s="226"/>
    </row>
    <row r="143" spans="1:5">
      <c r="A143" s="224" t="s">
        <v>118</v>
      </c>
      <c r="B143" s="663"/>
      <c r="C143" s="216">
        <f>B82</f>
        <v>0</v>
      </c>
      <c r="D143" s="217">
        <f>C82</f>
        <v>0</v>
      </c>
      <c r="E143" s="216">
        <f>D82</f>
        <v>0</v>
      </c>
    </row>
    <row r="144" spans="1:5">
      <c r="A144" s="224" t="s">
        <v>119</v>
      </c>
      <c r="B144" s="663"/>
      <c r="C144" s="216">
        <f>C82</f>
        <v>0</v>
      </c>
      <c r="D144" s="217">
        <f>D82</f>
        <v>0</v>
      </c>
      <c r="E144" s="216">
        <f>E82</f>
        <v>0</v>
      </c>
    </row>
    <row r="145" spans="1:5">
      <c r="A145" s="224"/>
      <c r="B145" s="663"/>
      <c r="C145" s="226"/>
      <c r="D145" s="227"/>
      <c r="E145" s="226"/>
    </row>
    <row r="146" spans="1:5">
      <c r="A146" s="221" t="s">
        <v>120</v>
      </c>
      <c r="B146" s="664"/>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ikfy/bJ2yZw+er6lOTTt7oc9D1uKDWGszZW6nrZmdbQ3UAlCYMb5bTEioljCt06t2GZkMdnnFSJX1EsL5fQtw==" saltValue="c0WMFv+/JIvOnxS8cRl6VQ==" spinCount="100000" sheet="1" objects="1" scenarios="1"/>
  <mergeCells count="25">
    <mergeCell ref="G95:I95"/>
    <mergeCell ref="G3:I3"/>
    <mergeCell ref="G46:I46"/>
    <mergeCell ref="G93:I93"/>
    <mergeCell ref="A1:I1"/>
    <mergeCell ref="B2:I2"/>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3"/>
  <sheetViews>
    <sheetView showGridLines="0" zoomScale="75" zoomScaleNormal="75" workbookViewId="0">
      <selection activeCell="D5" sqref="D5"/>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3" width="0" style="1" hidden="1" customWidth="1"/>
    <col min="14" max="16384" width="9.140625" style="1" hidden="1"/>
  </cols>
  <sheetData>
    <row r="1" spans="1:9" ht="21">
      <c r="A1" s="678" t="s">
        <v>18</v>
      </c>
      <c r="B1" s="678"/>
      <c r="C1" s="678"/>
      <c r="D1" s="678"/>
      <c r="E1" s="679"/>
      <c r="F1" s="678"/>
      <c r="G1" s="678"/>
      <c r="H1" s="678"/>
      <c r="I1" s="678"/>
    </row>
    <row r="2" spans="1:9" s="3" customFormat="1" ht="21">
      <c r="A2" s="2" t="s">
        <v>19</v>
      </c>
      <c r="B2" s="680" t="s">
        <v>1819</v>
      </c>
      <c r="C2" s="680"/>
      <c r="D2" s="680"/>
      <c r="E2" s="681"/>
      <c r="F2" s="680"/>
      <c r="G2" s="680"/>
      <c r="H2" s="680"/>
      <c r="I2" s="680"/>
    </row>
    <row r="3" spans="1:9">
      <c r="A3" s="4" t="s">
        <v>20</v>
      </c>
      <c r="B3" s="218" t="s">
        <v>1403</v>
      </c>
      <c r="C3" s="218" t="s">
        <v>1403</v>
      </c>
      <c r="D3" s="218" t="s">
        <v>1403</v>
      </c>
      <c r="E3" s="218" t="s">
        <v>1403</v>
      </c>
      <c r="G3" s="670" t="s">
        <v>21</v>
      </c>
      <c r="H3" s="670"/>
      <c r="I3" s="670"/>
    </row>
    <row r="4" spans="1:9">
      <c r="A4" s="212" t="s">
        <v>22</v>
      </c>
      <c r="B4" s="5">
        <f>DATE(YEAR(C4)-1,MONTH(C4),DAY(C4))</f>
        <v>43555</v>
      </c>
      <c r="C4" s="5">
        <f>DATE(YEAR(D4)-1,MONTH(D4),DAY(D4))</f>
        <v>43921</v>
      </c>
      <c r="D4" s="5">
        <f>'Fin-1'!D4</f>
        <v>44286</v>
      </c>
      <c r="E4" s="211">
        <f>DATE(YEAR(D4)+1,MONTH(D4),DAY(D4))</f>
        <v>44651</v>
      </c>
      <c r="G4" s="7">
        <f>C4</f>
        <v>43921</v>
      </c>
      <c r="H4" s="7">
        <f>D4</f>
        <v>44286</v>
      </c>
      <c r="I4" s="7">
        <f>E4</f>
        <v>44651</v>
      </c>
    </row>
    <row r="5" spans="1:9">
      <c r="A5" s="213" t="s">
        <v>23</v>
      </c>
      <c r="B5" s="348">
        <f>'Fin-1'!B5+'Fin-2'!B5+'Fin-3'!B5</f>
        <v>0</v>
      </c>
      <c r="C5" s="348">
        <f>'Fin-1'!C5+'Fin-2'!C5+'Fin-3'!C5</f>
        <v>0</v>
      </c>
      <c r="D5" s="348">
        <f>'Fin-1'!D5+'Fin-2'!D5+'Fin-3'!D5</f>
        <v>0</v>
      </c>
      <c r="E5" s="348">
        <f>'Fin-1'!E5+'Fin-2'!E5+'Fin-3'!E5</f>
        <v>0</v>
      </c>
      <c r="G5" s="8" t="str">
        <f>IF(OR(B5=0,C5=0),"",(C5-B5)/B5)</f>
        <v/>
      </c>
      <c r="H5" s="8" t="str">
        <f>IF(OR(C5=0,D5=0),"",(D5-C5)/C5)</f>
        <v/>
      </c>
      <c r="I5" s="8" t="str">
        <f>IF(OR(D5=0,E5=0),"",(E5-D5)/D5)</f>
        <v/>
      </c>
    </row>
    <row r="6" spans="1:9">
      <c r="A6" s="213" t="s">
        <v>24</v>
      </c>
      <c r="B6" s="348">
        <f>'Fin-1'!B6+'Fin-2'!B6+'Fin-3'!B6</f>
        <v>0</v>
      </c>
      <c r="C6" s="348">
        <f>'Fin-1'!C6+'Fin-2'!C6+'Fin-3'!C6</f>
        <v>0</v>
      </c>
      <c r="D6" s="348">
        <f>'Fin-1'!D6+'Fin-2'!D6+'Fin-3'!D6</f>
        <v>0</v>
      </c>
      <c r="E6" s="348">
        <f>'Fin-1'!E6+'Fin-2'!E6+'Fin-3'!E6</f>
        <v>0</v>
      </c>
      <c r="G6" s="8" t="str">
        <f t="shared" ref="G6:I44" si="0">IF(OR(B6=0,C6=0),"",(C6-B6)/B6)</f>
        <v/>
      </c>
      <c r="H6" s="8" t="str">
        <f t="shared" si="0"/>
        <v/>
      </c>
      <c r="I6" s="8" t="str">
        <f t="shared" si="0"/>
        <v/>
      </c>
    </row>
    <row r="7" spans="1:9">
      <c r="A7" s="213" t="s">
        <v>25</v>
      </c>
      <c r="B7" s="348">
        <f>'Fin-1'!B7+'Fin-2'!B7+'Fin-3'!B7</f>
        <v>0</v>
      </c>
      <c r="C7" s="348">
        <f>'Fin-1'!C7+'Fin-2'!C7+'Fin-3'!C7</f>
        <v>0</v>
      </c>
      <c r="D7" s="348">
        <f>'Fin-1'!D7+'Fin-2'!D7+'Fin-3'!D7</f>
        <v>0</v>
      </c>
      <c r="E7" s="348">
        <f>'Fin-1'!E7+'Fin-2'!E7+'Fin-3'!E7</f>
        <v>0</v>
      </c>
      <c r="G7" s="8" t="str">
        <f t="shared" si="0"/>
        <v/>
      </c>
      <c r="H7" s="8" t="str">
        <f t="shared" si="0"/>
        <v/>
      </c>
      <c r="I7" s="8" t="str">
        <f t="shared" si="0"/>
        <v/>
      </c>
    </row>
    <row r="8" spans="1:9">
      <c r="A8" s="215" t="s">
        <v>26</v>
      </c>
      <c r="B8" s="216">
        <f>SUM(B5:B7)</f>
        <v>0</v>
      </c>
      <c r="C8" s="216">
        <f>SUM(C5:C7)</f>
        <v>0</v>
      </c>
      <c r="D8" s="216">
        <f>SUM(D5:D7)</f>
        <v>0</v>
      </c>
      <c r="E8" s="216">
        <f>SUM(E5:E7)</f>
        <v>0</v>
      </c>
      <c r="G8" s="8" t="str">
        <f t="shared" si="0"/>
        <v/>
      </c>
      <c r="H8" s="8" t="str">
        <f t="shared" si="0"/>
        <v/>
      </c>
      <c r="I8" s="8" t="str">
        <f t="shared" si="0"/>
        <v/>
      </c>
    </row>
    <row r="9" spans="1:9">
      <c r="A9" s="215" t="s">
        <v>1630</v>
      </c>
      <c r="B9" s="216">
        <f>B10+B11+B12-B13+B14+B15</f>
        <v>0</v>
      </c>
      <c r="C9" s="216">
        <f>C10+C11+C12-C13+C14+C15</f>
        <v>0</v>
      </c>
      <c r="D9" s="216">
        <f>D10+D11+D12-D13+D14+D15</f>
        <v>0</v>
      </c>
      <c r="E9" s="216">
        <f>E10+E11+E12-E13+E14+E15</f>
        <v>0</v>
      </c>
      <c r="G9" s="8" t="str">
        <f t="shared" si="0"/>
        <v/>
      </c>
      <c r="H9" s="8" t="str">
        <f t="shared" si="0"/>
        <v/>
      </c>
      <c r="I9" s="8" t="str">
        <f t="shared" si="0"/>
        <v/>
      </c>
    </row>
    <row r="10" spans="1:9">
      <c r="A10" s="213" t="s">
        <v>27</v>
      </c>
      <c r="B10" s="348">
        <f>'Fin-1'!B10+'Fin-2'!B10+'Fin-3'!B10</f>
        <v>0</v>
      </c>
      <c r="C10" s="348">
        <f>'Fin-1'!C10+'Fin-2'!C10+'Fin-3'!C10</f>
        <v>0</v>
      </c>
      <c r="D10" s="348">
        <f>'Fin-1'!D10+'Fin-2'!D10+'Fin-3'!D10</f>
        <v>0</v>
      </c>
      <c r="E10" s="348">
        <f>'Fin-1'!E10+'Fin-2'!E10+'Fin-3'!E10</f>
        <v>0</v>
      </c>
      <c r="G10" s="8" t="str">
        <f t="shared" si="0"/>
        <v/>
      </c>
      <c r="H10" s="8" t="str">
        <f t="shared" si="0"/>
        <v/>
      </c>
      <c r="I10" s="8" t="str">
        <f t="shared" si="0"/>
        <v/>
      </c>
    </row>
    <row r="11" spans="1:9">
      <c r="A11" s="213" t="s">
        <v>28</v>
      </c>
      <c r="B11" s="348">
        <f>'Fin-1'!B11+'Fin-2'!B11+'Fin-3'!B11</f>
        <v>0</v>
      </c>
      <c r="C11" s="348">
        <f>'Fin-1'!C11+'Fin-2'!C11+'Fin-3'!C11</f>
        <v>0</v>
      </c>
      <c r="D11" s="348">
        <f>'Fin-1'!D11+'Fin-2'!D11+'Fin-3'!D11</f>
        <v>0</v>
      </c>
      <c r="E11" s="348">
        <f>'Fin-1'!E11+'Fin-2'!E11+'Fin-3'!E11</f>
        <v>0</v>
      </c>
      <c r="G11" s="8" t="str">
        <f t="shared" si="0"/>
        <v/>
      </c>
      <c r="H11" s="8" t="str">
        <f t="shared" si="0"/>
        <v/>
      </c>
      <c r="I11" s="8" t="str">
        <f t="shared" si="0"/>
        <v/>
      </c>
    </row>
    <row r="12" spans="1:9">
      <c r="A12" s="213" t="s">
        <v>1631</v>
      </c>
      <c r="B12" s="348">
        <f>'Fin-1'!B12+'Fin-2'!B12+'Fin-3'!B12</f>
        <v>0</v>
      </c>
      <c r="C12" s="348">
        <f>'Fin-1'!C12+'Fin-2'!C12+'Fin-3'!C12</f>
        <v>0</v>
      </c>
      <c r="D12" s="348">
        <f>'Fin-1'!D12+'Fin-2'!D12+'Fin-3'!D12</f>
        <v>0</v>
      </c>
      <c r="E12" s="348">
        <f>'Fin-1'!E12+'Fin-2'!E12+'Fin-3'!E12</f>
        <v>0</v>
      </c>
      <c r="G12" s="8" t="str">
        <f t="shared" si="0"/>
        <v/>
      </c>
      <c r="H12" s="8" t="str">
        <f t="shared" si="0"/>
        <v/>
      </c>
      <c r="I12" s="8" t="str">
        <f t="shared" si="0"/>
        <v/>
      </c>
    </row>
    <row r="13" spans="1:9">
      <c r="A13" s="213" t="s">
        <v>29</v>
      </c>
      <c r="B13" s="348">
        <f>'Fin-1'!B13+'Fin-2'!B13+'Fin-3'!B13</f>
        <v>0</v>
      </c>
      <c r="C13" s="348">
        <f>'Fin-1'!C13+'Fin-2'!C13+'Fin-3'!C13</f>
        <v>0</v>
      </c>
      <c r="D13" s="348">
        <f>'Fin-1'!D13+'Fin-2'!D13+'Fin-3'!D13</f>
        <v>0</v>
      </c>
      <c r="E13" s="348">
        <f>'Fin-1'!E13+'Fin-2'!E13+'Fin-3'!E13</f>
        <v>0</v>
      </c>
      <c r="G13" s="8" t="str">
        <f t="shared" si="0"/>
        <v/>
      </c>
      <c r="H13" s="8" t="str">
        <f t="shared" si="0"/>
        <v/>
      </c>
      <c r="I13" s="8" t="str">
        <f t="shared" si="0"/>
        <v/>
      </c>
    </row>
    <row r="14" spans="1:9">
      <c r="A14" s="213" t="s">
        <v>1632</v>
      </c>
      <c r="B14" s="348">
        <f>'Fin-1'!B14+'Fin-2'!B14+'Fin-3'!B14</f>
        <v>0</v>
      </c>
      <c r="C14" s="348">
        <f>'Fin-1'!C14+'Fin-2'!C14+'Fin-3'!C14</f>
        <v>0</v>
      </c>
      <c r="D14" s="348">
        <f>'Fin-1'!D14+'Fin-2'!D14+'Fin-3'!D14</f>
        <v>0</v>
      </c>
      <c r="E14" s="348">
        <f>'Fin-1'!E14+'Fin-2'!E14+'Fin-3'!E14</f>
        <v>0</v>
      </c>
      <c r="G14" s="8" t="str">
        <f t="shared" si="0"/>
        <v/>
      </c>
      <c r="H14" s="8" t="str">
        <f t="shared" si="0"/>
        <v/>
      </c>
      <c r="I14" s="8" t="str">
        <f t="shared" si="0"/>
        <v/>
      </c>
    </row>
    <row r="15" spans="1:9">
      <c r="A15" s="213" t="s">
        <v>30</v>
      </c>
      <c r="B15" s="348">
        <f>'Fin-1'!B15+'Fin-2'!B15+'Fin-3'!B15</f>
        <v>0</v>
      </c>
      <c r="C15" s="348">
        <f>'Fin-1'!C15+'Fin-2'!C15+'Fin-3'!C15</f>
        <v>0</v>
      </c>
      <c r="D15" s="348">
        <f>'Fin-1'!D15+'Fin-2'!D15+'Fin-3'!D15</f>
        <v>0</v>
      </c>
      <c r="E15" s="348">
        <f>'Fin-1'!E15+'Fin-2'!E15+'Fin-3'!E15</f>
        <v>0</v>
      </c>
      <c r="G15" s="8" t="str">
        <f t="shared" si="0"/>
        <v/>
      </c>
      <c r="H15" s="8" t="str">
        <f t="shared" si="0"/>
        <v/>
      </c>
      <c r="I15" s="8" t="str">
        <f t="shared" si="0"/>
        <v/>
      </c>
    </row>
    <row r="16" spans="1:9">
      <c r="A16" s="215" t="s">
        <v>31</v>
      </c>
      <c r="B16" s="216">
        <f t="shared" ref="B16:E16" si="1">B8-B9</f>
        <v>0</v>
      </c>
      <c r="C16" s="216">
        <f t="shared" si="1"/>
        <v>0</v>
      </c>
      <c r="D16" s="217">
        <f t="shared" si="1"/>
        <v>0</v>
      </c>
      <c r="E16" s="216">
        <f t="shared" si="1"/>
        <v>0</v>
      </c>
      <c r="G16" s="8" t="str">
        <f t="shared" si="0"/>
        <v/>
      </c>
      <c r="H16" s="8" t="str">
        <f t="shared" si="0"/>
        <v/>
      </c>
      <c r="I16" s="8" t="str">
        <f t="shared" si="0"/>
        <v/>
      </c>
    </row>
    <row r="17" spans="1:9">
      <c r="A17" s="215" t="s">
        <v>1677</v>
      </c>
      <c r="B17" s="216">
        <f>B8-B9-B7</f>
        <v>0</v>
      </c>
      <c r="C17" s="216">
        <f t="shared" ref="C17:E17" si="2">C8-C9-C7</f>
        <v>0</v>
      </c>
      <c r="D17" s="216">
        <f t="shared" si="2"/>
        <v>0</v>
      </c>
      <c r="E17" s="216">
        <f t="shared" si="2"/>
        <v>0</v>
      </c>
      <c r="G17" s="8" t="str">
        <f t="shared" si="0"/>
        <v/>
      </c>
      <c r="H17" s="8" t="str">
        <f t="shared" si="0"/>
        <v/>
      </c>
      <c r="I17" s="8" t="str">
        <f t="shared" si="0"/>
        <v/>
      </c>
    </row>
    <row r="18" spans="1:9">
      <c r="A18" s="213" t="s">
        <v>32</v>
      </c>
      <c r="B18" s="348">
        <f>'Fin-1'!B18+'Fin-2'!B18+'Fin-3'!B18</f>
        <v>0</v>
      </c>
      <c r="C18" s="348">
        <f>'Fin-1'!C18+'Fin-2'!C18+'Fin-3'!C18</f>
        <v>0</v>
      </c>
      <c r="D18" s="348">
        <f>'Fin-1'!D18+'Fin-2'!D18+'Fin-3'!D18</f>
        <v>0</v>
      </c>
      <c r="E18" s="348">
        <f>'Fin-1'!E18+'Fin-2'!E18+'Fin-3'!E18</f>
        <v>0</v>
      </c>
      <c r="G18" s="8" t="str">
        <f t="shared" si="0"/>
        <v/>
      </c>
      <c r="H18" s="8" t="str">
        <f t="shared" si="0"/>
        <v/>
      </c>
      <c r="I18" s="8" t="str">
        <f t="shared" si="0"/>
        <v/>
      </c>
    </row>
    <row r="19" spans="1:9">
      <c r="A19" s="213" t="s">
        <v>33</v>
      </c>
      <c r="B19" s="348">
        <f>'Fin-1'!B19+'Fin-2'!B19+'Fin-3'!B19</f>
        <v>0</v>
      </c>
      <c r="C19" s="348">
        <f>'Fin-1'!C19+'Fin-2'!C19+'Fin-3'!C19</f>
        <v>0</v>
      </c>
      <c r="D19" s="348">
        <f>'Fin-1'!D19+'Fin-2'!D19+'Fin-3'!D19</f>
        <v>0</v>
      </c>
      <c r="E19" s="348">
        <f>'Fin-1'!E19+'Fin-2'!E19+'Fin-3'!E19</f>
        <v>0</v>
      </c>
      <c r="G19" s="8" t="str">
        <f t="shared" si="0"/>
        <v/>
      </c>
      <c r="H19" s="8" t="str">
        <f t="shared" si="0"/>
        <v/>
      </c>
      <c r="I19" s="8" t="str">
        <f t="shared" si="0"/>
        <v/>
      </c>
    </row>
    <row r="20" spans="1:9">
      <c r="A20" s="213" t="s">
        <v>34</v>
      </c>
      <c r="B20" s="348">
        <f>'Fin-1'!B20+'Fin-2'!B20+'Fin-3'!B20</f>
        <v>0</v>
      </c>
      <c r="C20" s="348">
        <f>'Fin-1'!C20+'Fin-2'!C20+'Fin-3'!C20</f>
        <v>0</v>
      </c>
      <c r="D20" s="348">
        <f>'Fin-1'!D20+'Fin-2'!D20+'Fin-3'!D20</f>
        <v>0</v>
      </c>
      <c r="E20" s="348">
        <f>'Fin-1'!E20+'Fin-2'!E20+'Fin-3'!E20</f>
        <v>0</v>
      </c>
      <c r="G20" s="8" t="str">
        <f t="shared" si="0"/>
        <v/>
      </c>
      <c r="H20" s="8" t="str">
        <f t="shared" si="0"/>
        <v/>
      </c>
      <c r="I20" s="8" t="str">
        <f t="shared" si="0"/>
        <v/>
      </c>
    </row>
    <row r="21" spans="1:9">
      <c r="A21" s="213" t="s">
        <v>1633</v>
      </c>
      <c r="B21" s="348">
        <f>'Fin-1'!B21+'Fin-2'!B21+'Fin-3'!B21</f>
        <v>0</v>
      </c>
      <c r="C21" s="348">
        <f>'Fin-1'!C21+'Fin-2'!C21+'Fin-3'!C21</f>
        <v>0</v>
      </c>
      <c r="D21" s="348">
        <f>'Fin-1'!D21+'Fin-2'!D21+'Fin-3'!D21</f>
        <v>0</v>
      </c>
      <c r="E21" s="348">
        <f>'Fin-1'!E21+'Fin-2'!E21+'Fin-3'!E21</f>
        <v>0</v>
      </c>
      <c r="G21" s="8" t="str">
        <f t="shared" si="0"/>
        <v/>
      </c>
      <c r="H21" s="8" t="str">
        <f t="shared" si="0"/>
        <v/>
      </c>
      <c r="I21" s="8" t="str">
        <f t="shared" si="0"/>
        <v/>
      </c>
    </row>
    <row r="22" spans="1:9">
      <c r="A22" s="213" t="s">
        <v>1634</v>
      </c>
      <c r="B22" s="348">
        <f>'Fin-1'!B22+'Fin-2'!B22+'Fin-3'!B22</f>
        <v>0</v>
      </c>
      <c r="C22" s="348">
        <f>'Fin-1'!C22+'Fin-2'!C22+'Fin-3'!C22</f>
        <v>0</v>
      </c>
      <c r="D22" s="348">
        <f>'Fin-1'!D22+'Fin-2'!D22+'Fin-3'!D22</f>
        <v>0</v>
      </c>
      <c r="E22" s="348">
        <f>'Fin-1'!E22+'Fin-2'!E22+'Fin-3'!E22</f>
        <v>0</v>
      </c>
      <c r="G22" s="8" t="str">
        <f t="shared" si="0"/>
        <v/>
      </c>
      <c r="H22" s="8" t="str">
        <f t="shared" si="0"/>
        <v/>
      </c>
      <c r="I22" s="8" t="str">
        <f t="shared" si="0"/>
        <v/>
      </c>
    </row>
    <row r="23" spans="1:9">
      <c r="A23" s="215" t="s">
        <v>1635</v>
      </c>
      <c r="B23" s="216">
        <f>B17-SUM(B18:B22)</f>
        <v>0</v>
      </c>
      <c r="C23" s="216">
        <f>C17-SUM(C18:C22)</f>
        <v>0</v>
      </c>
      <c r="D23" s="217">
        <f>D17-SUM(D18:D22)</f>
        <v>0</v>
      </c>
      <c r="E23" s="216">
        <f>E17-SUM(E18:E22)</f>
        <v>0</v>
      </c>
      <c r="G23" s="8" t="str">
        <f t="shared" si="0"/>
        <v/>
      </c>
      <c r="H23" s="8" t="str">
        <f t="shared" si="0"/>
        <v/>
      </c>
      <c r="I23" s="8" t="str">
        <f t="shared" si="0"/>
        <v/>
      </c>
    </row>
    <row r="24" spans="1:9">
      <c r="A24" s="215" t="s">
        <v>1636</v>
      </c>
      <c r="B24" s="216">
        <f>SUM(B25:B28)</f>
        <v>0</v>
      </c>
      <c r="C24" s="216">
        <f>SUM(C25:C28)</f>
        <v>0</v>
      </c>
      <c r="D24" s="217">
        <f>SUM(D25:D28)</f>
        <v>0</v>
      </c>
      <c r="E24" s="216">
        <f>SUM(E25:E28)</f>
        <v>0</v>
      </c>
      <c r="G24" s="8" t="str">
        <f t="shared" si="0"/>
        <v/>
      </c>
      <c r="H24" s="8" t="str">
        <f t="shared" si="0"/>
        <v/>
      </c>
      <c r="I24" s="8" t="str">
        <f t="shared" si="0"/>
        <v/>
      </c>
    </row>
    <row r="25" spans="1:9">
      <c r="A25" s="213" t="s">
        <v>36</v>
      </c>
      <c r="B25" s="348">
        <f>'Fin-1'!B25+'Fin-2'!B25+'Fin-3'!B25</f>
        <v>0</v>
      </c>
      <c r="C25" s="348">
        <f>'Fin-1'!C25+'Fin-2'!C25+'Fin-3'!C25</f>
        <v>0</v>
      </c>
      <c r="D25" s="348">
        <f>'Fin-1'!D25+'Fin-2'!D25+'Fin-3'!D25</f>
        <v>0</v>
      </c>
      <c r="E25" s="348">
        <f>'Fin-1'!E25+'Fin-2'!E25+'Fin-3'!E25</f>
        <v>0</v>
      </c>
      <c r="G25" s="8" t="str">
        <f t="shared" si="0"/>
        <v/>
      </c>
      <c r="H25" s="8" t="str">
        <f t="shared" si="0"/>
        <v/>
      </c>
      <c r="I25" s="8" t="str">
        <f t="shared" si="0"/>
        <v/>
      </c>
    </row>
    <row r="26" spans="1:9">
      <c r="A26" s="213" t="s">
        <v>37</v>
      </c>
      <c r="B26" s="348">
        <f>'Fin-1'!B26+'Fin-2'!B26+'Fin-3'!B26</f>
        <v>0</v>
      </c>
      <c r="C26" s="348">
        <f>'Fin-1'!C26+'Fin-2'!C26+'Fin-3'!C26</f>
        <v>0</v>
      </c>
      <c r="D26" s="348">
        <f>'Fin-1'!D26+'Fin-2'!D26+'Fin-3'!D26</f>
        <v>0</v>
      </c>
      <c r="E26" s="348">
        <f>'Fin-1'!E26+'Fin-2'!E26+'Fin-3'!E26</f>
        <v>0</v>
      </c>
      <c r="G26" s="8" t="str">
        <f t="shared" si="0"/>
        <v/>
      </c>
      <c r="H26" s="8" t="str">
        <f t="shared" si="0"/>
        <v/>
      </c>
      <c r="I26" s="8" t="str">
        <f t="shared" si="0"/>
        <v/>
      </c>
    </row>
    <row r="27" spans="1:9">
      <c r="A27" s="213" t="s">
        <v>38</v>
      </c>
      <c r="B27" s="348">
        <f>'Fin-1'!B27+'Fin-2'!B27+'Fin-3'!B27</f>
        <v>0</v>
      </c>
      <c r="C27" s="348">
        <f>'Fin-1'!C27+'Fin-2'!C27+'Fin-3'!C27</f>
        <v>0</v>
      </c>
      <c r="D27" s="348">
        <f>'Fin-1'!D27+'Fin-2'!D27+'Fin-3'!D27</f>
        <v>0</v>
      </c>
      <c r="E27" s="348">
        <f>'Fin-1'!E27+'Fin-2'!E27+'Fin-3'!E27</f>
        <v>0</v>
      </c>
      <c r="G27" s="8" t="str">
        <f t="shared" si="0"/>
        <v/>
      </c>
      <c r="H27" s="8" t="str">
        <f t="shared" si="0"/>
        <v/>
      </c>
      <c r="I27" s="8" t="str">
        <f t="shared" si="0"/>
        <v/>
      </c>
    </row>
    <row r="28" spans="1:9">
      <c r="A28" s="213" t="s">
        <v>35</v>
      </c>
      <c r="B28" s="348">
        <f>'Fin-1'!B28+'Fin-2'!B28+'Fin-3'!B28</f>
        <v>0</v>
      </c>
      <c r="C28" s="348">
        <f>'Fin-1'!C28+'Fin-2'!C28+'Fin-3'!C28</f>
        <v>0</v>
      </c>
      <c r="D28" s="348">
        <f>'Fin-1'!D28+'Fin-2'!D28+'Fin-3'!D28</f>
        <v>0</v>
      </c>
      <c r="E28" s="348">
        <f>'Fin-1'!E28+'Fin-2'!E28+'Fin-3'!E28</f>
        <v>0</v>
      </c>
      <c r="G28" s="8" t="str">
        <f t="shared" si="0"/>
        <v/>
      </c>
      <c r="H28" s="8" t="str">
        <f t="shared" si="0"/>
        <v/>
      </c>
      <c r="I28" s="8" t="str">
        <f t="shared" si="0"/>
        <v/>
      </c>
    </row>
    <row r="29" spans="1:9">
      <c r="A29" s="215" t="s">
        <v>1637</v>
      </c>
      <c r="B29" s="216">
        <f>B23-B28</f>
        <v>0</v>
      </c>
      <c r="C29" s="216">
        <f>C23-C28</f>
        <v>0</v>
      </c>
      <c r="D29" s="217">
        <f>D23-D28</f>
        <v>0</v>
      </c>
      <c r="E29" s="216">
        <f>E23-E28</f>
        <v>0</v>
      </c>
      <c r="G29" s="8" t="str">
        <f t="shared" si="0"/>
        <v/>
      </c>
      <c r="H29" s="8" t="str">
        <f t="shared" si="0"/>
        <v/>
      </c>
      <c r="I29" s="8" t="str">
        <f t="shared" si="0"/>
        <v/>
      </c>
    </row>
    <row r="30" spans="1:9">
      <c r="A30" s="215" t="s">
        <v>1638</v>
      </c>
      <c r="B30" s="216">
        <f>B29-B25</f>
        <v>0</v>
      </c>
      <c r="C30" s="216">
        <f>C29-C25</f>
        <v>0</v>
      </c>
      <c r="D30" s="217">
        <f>D29-D25</f>
        <v>0</v>
      </c>
      <c r="E30" s="216">
        <f>E29-E25</f>
        <v>0</v>
      </c>
      <c r="G30" s="8" t="str">
        <f t="shared" si="0"/>
        <v/>
      </c>
      <c r="H30" s="8" t="str">
        <f t="shared" si="0"/>
        <v/>
      </c>
      <c r="I30" s="8" t="str">
        <f t="shared" si="0"/>
        <v/>
      </c>
    </row>
    <row r="31" spans="1:9">
      <c r="A31" s="213" t="s">
        <v>39</v>
      </c>
      <c r="B31" s="348">
        <f>'Fin-1'!B31+'Fin-2'!B31+'Fin-3'!B31</f>
        <v>0</v>
      </c>
      <c r="C31" s="348">
        <f>'Fin-1'!C31+'Fin-2'!C31+'Fin-3'!C31</f>
        <v>0</v>
      </c>
      <c r="D31" s="348">
        <f>'Fin-1'!D31+'Fin-2'!D31+'Fin-3'!D31</f>
        <v>0</v>
      </c>
      <c r="E31" s="348">
        <f>'Fin-1'!E31+'Fin-2'!E31+'Fin-3'!E31</f>
        <v>0</v>
      </c>
      <c r="G31" s="8" t="str">
        <f t="shared" si="0"/>
        <v/>
      </c>
      <c r="H31" s="8" t="str">
        <f t="shared" si="0"/>
        <v/>
      </c>
      <c r="I31" s="8" t="str">
        <f t="shared" si="0"/>
        <v/>
      </c>
    </row>
    <row r="32" spans="1:9">
      <c r="A32" s="213" t="s">
        <v>40</v>
      </c>
      <c r="B32" s="348">
        <f>'Fin-1'!B32+'Fin-2'!B32+'Fin-3'!B32</f>
        <v>0</v>
      </c>
      <c r="C32" s="348">
        <f>'Fin-1'!C32+'Fin-2'!C32+'Fin-3'!C32</f>
        <v>0</v>
      </c>
      <c r="D32" s="348">
        <f>'Fin-1'!D32+'Fin-2'!D32+'Fin-3'!D32</f>
        <v>0</v>
      </c>
      <c r="E32" s="348">
        <f>'Fin-1'!E32+'Fin-2'!E32+'Fin-3'!E32</f>
        <v>0</v>
      </c>
      <c r="G32" s="8" t="str">
        <f t="shared" si="0"/>
        <v/>
      </c>
      <c r="H32" s="8" t="str">
        <f t="shared" si="0"/>
        <v/>
      </c>
      <c r="I32" s="8" t="str">
        <f t="shared" si="0"/>
        <v/>
      </c>
    </row>
    <row r="33" spans="1:9">
      <c r="A33" s="213" t="s">
        <v>41</v>
      </c>
      <c r="B33" s="348">
        <f>'Fin-1'!B33+'Fin-2'!B33+'Fin-3'!B33</f>
        <v>0</v>
      </c>
      <c r="C33" s="348">
        <f>'Fin-1'!C33+'Fin-2'!C33+'Fin-3'!C33</f>
        <v>0</v>
      </c>
      <c r="D33" s="348">
        <f>'Fin-1'!D33+'Fin-2'!D33+'Fin-3'!D33</f>
        <v>0</v>
      </c>
      <c r="E33" s="348">
        <f>'Fin-1'!E33+'Fin-2'!E33+'Fin-3'!E33</f>
        <v>0</v>
      </c>
      <c r="G33" s="8" t="str">
        <f t="shared" si="0"/>
        <v/>
      </c>
      <c r="H33" s="8" t="str">
        <f t="shared" si="0"/>
        <v/>
      </c>
      <c r="I33" s="8" t="str">
        <f t="shared" si="0"/>
        <v/>
      </c>
    </row>
    <row r="34" spans="1:9">
      <c r="A34" s="213" t="s">
        <v>42</v>
      </c>
      <c r="B34" s="348">
        <f>'Fin-1'!B34+'Fin-2'!B34+'Fin-3'!B34</f>
        <v>0</v>
      </c>
      <c r="C34" s="348">
        <f>'Fin-1'!C34+'Fin-2'!C34+'Fin-3'!C34</f>
        <v>0</v>
      </c>
      <c r="D34" s="348">
        <f>'Fin-1'!D34+'Fin-2'!D34+'Fin-3'!D34</f>
        <v>0</v>
      </c>
      <c r="E34" s="348">
        <f>'Fin-1'!E34+'Fin-2'!E34+'Fin-3'!E34</f>
        <v>0</v>
      </c>
      <c r="G34" s="8" t="str">
        <f t="shared" si="0"/>
        <v/>
      </c>
      <c r="H34" s="8" t="str">
        <f t="shared" si="0"/>
        <v/>
      </c>
      <c r="I34" s="8" t="str">
        <f t="shared" si="0"/>
        <v/>
      </c>
    </row>
    <row r="35" spans="1:9">
      <c r="A35" s="213" t="s">
        <v>43</v>
      </c>
      <c r="B35" s="348">
        <f>'Fin-1'!B35+'Fin-2'!B35+'Fin-3'!B35</f>
        <v>0</v>
      </c>
      <c r="C35" s="348">
        <f>'Fin-1'!C35+'Fin-2'!C35+'Fin-3'!C35</f>
        <v>0</v>
      </c>
      <c r="D35" s="348">
        <f>'Fin-1'!D35+'Fin-2'!D35+'Fin-3'!D35</f>
        <v>0</v>
      </c>
      <c r="E35" s="348">
        <f>'Fin-1'!E35+'Fin-2'!E35+'Fin-3'!E35</f>
        <v>0</v>
      </c>
      <c r="G35" s="8" t="str">
        <f t="shared" si="0"/>
        <v/>
      </c>
      <c r="H35" s="8" t="str">
        <f t="shared" si="0"/>
        <v/>
      </c>
      <c r="I35" s="8" t="str">
        <f t="shared" si="0"/>
        <v/>
      </c>
    </row>
    <row r="36" spans="1:9">
      <c r="A36" s="215" t="s">
        <v>44</v>
      </c>
      <c r="B36" s="216">
        <f>B23-B24-SUM(B31:B35)+B7</f>
        <v>0</v>
      </c>
      <c r="C36" s="216">
        <f>C23-C24-SUM(C31:C35)+C7</f>
        <v>0</v>
      </c>
      <c r="D36" s="217">
        <f>D23-D24-SUM(D31:D35)+D7</f>
        <v>0</v>
      </c>
      <c r="E36" s="216">
        <f>E23-E24-SUM(E31:E35)+E7</f>
        <v>0</v>
      </c>
      <c r="G36" s="8" t="str">
        <f t="shared" si="0"/>
        <v/>
      </c>
      <c r="H36" s="8" t="str">
        <f t="shared" si="0"/>
        <v/>
      </c>
      <c r="I36" s="8" t="str">
        <f t="shared" si="0"/>
        <v/>
      </c>
    </row>
    <row r="37" spans="1:9">
      <c r="A37" s="215" t="s">
        <v>45</v>
      </c>
      <c r="B37" s="216">
        <f>B36-B7</f>
        <v>0</v>
      </c>
      <c r="C37" s="216">
        <f>C36-C7</f>
        <v>0</v>
      </c>
      <c r="D37" s="217">
        <f>D36-D7</f>
        <v>0</v>
      </c>
      <c r="E37" s="216">
        <f>E36-E7</f>
        <v>0</v>
      </c>
      <c r="G37" s="8" t="str">
        <f t="shared" si="0"/>
        <v/>
      </c>
      <c r="H37" s="8" t="str">
        <f t="shared" si="0"/>
        <v/>
      </c>
      <c r="I37" s="8" t="str">
        <f t="shared" si="0"/>
        <v/>
      </c>
    </row>
    <row r="38" spans="1:9">
      <c r="A38" s="213" t="s">
        <v>46</v>
      </c>
      <c r="B38" s="348">
        <f>'Fin-1'!B38+'Fin-2'!B38+'Fin-3'!B38</f>
        <v>0</v>
      </c>
      <c r="C38" s="348">
        <f>'Fin-1'!C38+'Fin-2'!C38+'Fin-3'!C38</f>
        <v>0</v>
      </c>
      <c r="D38" s="348">
        <f>'Fin-1'!D38+'Fin-2'!D38+'Fin-3'!D38</f>
        <v>0</v>
      </c>
      <c r="E38" s="348">
        <f>'Fin-1'!E38+'Fin-2'!E38+'Fin-3'!E38</f>
        <v>0</v>
      </c>
      <c r="G38" s="8" t="str">
        <f t="shared" si="0"/>
        <v/>
      </c>
      <c r="H38" s="8" t="str">
        <f t="shared" si="0"/>
        <v/>
      </c>
      <c r="I38" s="8" t="str">
        <f t="shared" si="0"/>
        <v/>
      </c>
    </row>
    <row r="39" spans="1:9">
      <c r="A39" s="215" t="s">
        <v>47</v>
      </c>
      <c r="B39" s="216">
        <f>B36-B38</f>
        <v>0</v>
      </c>
      <c r="C39" s="216">
        <f>C36-C38</f>
        <v>0</v>
      </c>
      <c r="D39" s="217">
        <f>D36-D38</f>
        <v>0</v>
      </c>
      <c r="E39" s="216">
        <f>E36-E38</f>
        <v>0</v>
      </c>
      <c r="G39" s="8" t="str">
        <f t="shared" si="0"/>
        <v/>
      </c>
      <c r="H39" s="8" t="str">
        <f t="shared" si="0"/>
        <v/>
      </c>
      <c r="I39" s="8" t="str">
        <f t="shared" si="0"/>
        <v/>
      </c>
    </row>
    <row r="40" spans="1:9">
      <c r="A40" s="215" t="s">
        <v>48</v>
      </c>
      <c r="B40" s="216">
        <f>B37-B38</f>
        <v>0</v>
      </c>
      <c r="C40" s="216">
        <f>C37-C38</f>
        <v>0</v>
      </c>
      <c r="D40" s="217">
        <f>D37-D38</f>
        <v>0</v>
      </c>
      <c r="E40" s="216">
        <f>E37-E38</f>
        <v>0</v>
      </c>
      <c r="G40" s="8" t="str">
        <f t="shared" si="0"/>
        <v/>
      </c>
      <c r="H40" s="8" t="str">
        <f t="shared" si="0"/>
        <v/>
      </c>
      <c r="I40" s="8" t="str">
        <f t="shared" si="0"/>
        <v/>
      </c>
    </row>
    <row r="41" spans="1:9">
      <c r="A41" s="215" t="s">
        <v>49</v>
      </c>
      <c r="B41" s="216">
        <f>B40+B31+B33</f>
        <v>0</v>
      </c>
      <c r="C41" s="216">
        <f>C40+C31+C33</f>
        <v>0</v>
      </c>
      <c r="D41" s="217">
        <f>D40+D31+D33</f>
        <v>0</v>
      </c>
      <c r="E41" s="216">
        <f>E40+E31+E33</f>
        <v>0</v>
      </c>
      <c r="G41" s="8" t="str">
        <f t="shared" si="0"/>
        <v/>
      </c>
      <c r="H41" s="8" t="str">
        <f t="shared" si="0"/>
        <v/>
      </c>
      <c r="I41" s="8" t="str">
        <f t="shared" si="0"/>
        <v/>
      </c>
    </row>
    <row r="42" spans="1:9">
      <c r="A42" s="215" t="s">
        <v>50</v>
      </c>
      <c r="B42" s="216">
        <f>B41+B34+B35</f>
        <v>0</v>
      </c>
      <c r="C42" s="216">
        <f>C41+C34+C35</f>
        <v>0</v>
      </c>
      <c r="D42" s="217">
        <f>D41+D34+D35</f>
        <v>0</v>
      </c>
      <c r="E42" s="216">
        <f>E41+E34+E35</f>
        <v>0</v>
      </c>
      <c r="G42" s="8" t="str">
        <f t="shared" si="0"/>
        <v/>
      </c>
      <c r="H42" s="8" t="str">
        <f t="shared" si="0"/>
        <v/>
      </c>
      <c r="I42" s="8" t="str">
        <f t="shared" si="0"/>
        <v/>
      </c>
    </row>
    <row r="43" spans="1:9">
      <c r="A43" s="213" t="s">
        <v>1639</v>
      </c>
      <c r="B43" s="348"/>
      <c r="C43" s="348"/>
      <c r="D43" s="348"/>
      <c r="E43" s="348"/>
      <c r="G43" s="8" t="str">
        <f t="shared" si="0"/>
        <v/>
      </c>
      <c r="H43" s="8" t="str">
        <f t="shared" si="0"/>
        <v/>
      </c>
      <c r="I43" s="8" t="str">
        <f t="shared" si="0"/>
        <v/>
      </c>
    </row>
    <row r="44" spans="1:9">
      <c r="A44" s="215" t="s">
        <v>1640</v>
      </c>
      <c r="B44" s="216">
        <f>B39-B43</f>
        <v>0</v>
      </c>
      <c r="C44" s="216">
        <f>C39-C43</f>
        <v>0</v>
      </c>
      <c r="D44" s="217">
        <f>D39-D43</f>
        <v>0</v>
      </c>
      <c r="E44" s="216">
        <f>E39-E43</f>
        <v>0</v>
      </c>
      <c r="G44" s="8" t="str">
        <f t="shared" si="0"/>
        <v/>
      </c>
      <c r="H44" s="8" t="str">
        <f t="shared" si="0"/>
        <v/>
      </c>
      <c r="I44" s="8" t="str">
        <f t="shared" si="0"/>
        <v/>
      </c>
    </row>
    <row r="45" spans="1:9">
      <c r="A45" s="349"/>
      <c r="B45" s="350"/>
      <c r="C45" s="350"/>
      <c r="D45" s="351"/>
      <c r="E45" s="351"/>
      <c r="G45" s="9"/>
      <c r="H45" s="9"/>
      <c r="I45" s="9"/>
    </row>
    <row r="46" spans="1:9">
      <c r="A46" s="212" t="s">
        <v>51</v>
      </c>
      <c r="B46" s="218" t="str">
        <f>B3</f>
        <v>Audited and Filed</v>
      </c>
      <c r="C46" s="218" t="str">
        <f t="shared" ref="C46:E47" si="3">C3</f>
        <v>Audited and Filed</v>
      </c>
      <c r="D46" s="218" t="str">
        <f t="shared" si="3"/>
        <v>Audited and Filed</v>
      </c>
      <c r="E46" s="218" t="str">
        <f t="shared" si="3"/>
        <v>Audited and Filed</v>
      </c>
      <c r="G46" s="670" t="s">
        <v>21</v>
      </c>
      <c r="H46" s="670"/>
      <c r="I46" s="670"/>
    </row>
    <row r="47" spans="1:9">
      <c r="A47" s="212" t="s">
        <v>52</v>
      </c>
      <c r="B47" s="211">
        <f>B4</f>
        <v>43555</v>
      </c>
      <c r="C47" s="211">
        <f t="shared" si="3"/>
        <v>43921</v>
      </c>
      <c r="D47" s="211">
        <f t="shared" si="3"/>
        <v>44286</v>
      </c>
      <c r="E47" s="211">
        <f t="shared" si="3"/>
        <v>44651</v>
      </c>
      <c r="G47" s="7">
        <f>G4</f>
        <v>43921</v>
      </c>
      <c r="H47" s="7">
        <f t="shared" ref="H47:I47" si="4">H4</f>
        <v>44286</v>
      </c>
      <c r="I47" s="7">
        <f t="shared" si="4"/>
        <v>44651</v>
      </c>
    </row>
    <row r="48" spans="1:9">
      <c r="A48" s="219" t="s">
        <v>1641</v>
      </c>
      <c r="B48" s="348">
        <f>'Fin-1'!B48+'Fin-2'!B48+'Fin-3'!B48</f>
        <v>0</v>
      </c>
      <c r="C48" s="348">
        <f>'Fin-1'!C48+'Fin-2'!C48+'Fin-3'!C48</f>
        <v>0</v>
      </c>
      <c r="D48" s="348">
        <f>'Fin-1'!D48+'Fin-2'!D48+'Fin-3'!D48</f>
        <v>0</v>
      </c>
      <c r="E48" s="348">
        <f>'Fin-1'!E48+'Fin-2'!E48+'Fin-3'!E48</f>
        <v>0</v>
      </c>
      <c r="G48" s="8" t="str">
        <f t="shared" ref="G48:I63" si="5">IF(OR(B48=0,C48=0),"",(C48-B48)/B48)</f>
        <v/>
      </c>
      <c r="H48" s="8" t="str">
        <f t="shared" si="5"/>
        <v/>
      </c>
      <c r="I48" s="8" t="str">
        <f t="shared" si="5"/>
        <v/>
      </c>
    </row>
    <row r="49" spans="1:9">
      <c r="A49" s="219" t="s">
        <v>1642</v>
      </c>
      <c r="B49" s="348">
        <f>'Fin-1'!B49+'Fin-2'!B49+'Fin-3'!B49</f>
        <v>0</v>
      </c>
      <c r="C49" s="348">
        <f>'Fin-1'!C49+'Fin-2'!C49+'Fin-3'!C49</f>
        <v>0</v>
      </c>
      <c r="D49" s="348">
        <f>'Fin-1'!D49+'Fin-2'!D49+'Fin-3'!D49</f>
        <v>0</v>
      </c>
      <c r="E49" s="348">
        <f>'Fin-1'!E49+'Fin-2'!E49+'Fin-3'!E49</f>
        <v>0</v>
      </c>
      <c r="G49" s="8" t="str">
        <f t="shared" si="5"/>
        <v/>
      </c>
      <c r="H49" s="8" t="str">
        <f t="shared" si="5"/>
        <v/>
      </c>
      <c r="I49" s="8" t="str">
        <f t="shared" si="5"/>
        <v/>
      </c>
    </row>
    <row r="50" spans="1:9">
      <c r="A50" s="219" t="s">
        <v>1643</v>
      </c>
      <c r="B50" s="348">
        <f>'Fin-1'!B50+'Fin-2'!B50+'Fin-3'!B50</f>
        <v>0</v>
      </c>
      <c r="C50" s="348">
        <f>'Fin-1'!C50+'Fin-2'!C50+'Fin-3'!C50</f>
        <v>0</v>
      </c>
      <c r="D50" s="348">
        <f>'Fin-1'!D50+'Fin-2'!D50+'Fin-3'!D50</f>
        <v>0</v>
      </c>
      <c r="E50" s="348">
        <f>'Fin-1'!E50+'Fin-2'!E50+'Fin-3'!E50</f>
        <v>0</v>
      </c>
      <c r="G50" s="8" t="str">
        <f t="shared" si="5"/>
        <v/>
      </c>
      <c r="H50" s="8" t="str">
        <f t="shared" si="5"/>
        <v/>
      </c>
      <c r="I50" s="8" t="str">
        <f t="shared" si="5"/>
        <v/>
      </c>
    </row>
    <row r="51" spans="1:9">
      <c r="A51" s="215" t="s">
        <v>53</v>
      </c>
      <c r="B51" s="216">
        <f>SUM(B48:B49)-B91</f>
        <v>1.0000000000000006E-5</v>
      </c>
      <c r="C51" s="216">
        <f>SUM(C48:C49)-C91</f>
        <v>0</v>
      </c>
      <c r="D51" s="217">
        <f>SUM(D48:D49)-D91</f>
        <v>0</v>
      </c>
      <c r="E51" s="216">
        <f>SUM(E48:E49)-E91</f>
        <v>0</v>
      </c>
      <c r="G51" s="8" t="str">
        <f t="shared" si="5"/>
        <v/>
      </c>
      <c r="H51" s="8" t="str">
        <f t="shared" si="5"/>
        <v/>
      </c>
      <c r="I51" s="8" t="str">
        <f t="shared" si="5"/>
        <v/>
      </c>
    </row>
    <row r="52" spans="1:9">
      <c r="A52" s="219" t="s">
        <v>54</v>
      </c>
      <c r="B52" s="348">
        <f>'Fin-1'!B52+'Fin-2'!B52+'Fin-3'!B52</f>
        <v>0</v>
      </c>
      <c r="C52" s="348">
        <f>'Fin-1'!C52+'Fin-2'!C52+'Fin-3'!C52</f>
        <v>0</v>
      </c>
      <c r="D52" s="348">
        <f>'Fin-1'!D52+'Fin-2'!D52+'Fin-3'!D52</f>
        <v>0</v>
      </c>
      <c r="E52" s="348">
        <f>'Fin-1'!E52+'Fin-2'!E52+'Fin-3'!E52</f>
        <v>0</v>
      </c>
      <c r="G52" s="8" t="str">
        <f t="shared" si="5"/>
        <v/>
      </c>
      <c r="H52" s="8" t="str">
        <f t="shared" si="5"/>
        <v/>
      </c>
      <c r="I52" s="8" t="str">
        <f t="shared" si="5"/>
        <v/>
      </c>
    </row>
    <row r="53" spans="1:9">
      <c r="A53" s="215" t="s">
        <v>55</v>
      </c>
      <c r="B53" s="216">
        <f>B51+B52-B77-B80-B88-B90</f>
        <v>1.0000000000000006E-5</v>
      </c>
      <c r="C53" s="216">
        <f>C51+C52-C77-C80-C88-C90</f>
        <v>0</v>
      </c>
      <c r="D53" s="217">
        <f>D51+D52-D77-D80-D88-D90</f>
        <v>0</v>
      </c>
      <c r="E53" s="216">
        <f>E51+E52-E77-E80-E88-E90</f>
        <v>0</v>
      </c>
      <c r="G53" s="8" t="str">
        <f t="shared" si="5"/>
        <v/>
      </c>
      <c r="H53" s="8" t="str">
        <f t="shared" si="5"/>
        <v/>
      </c>
      <c r="I53" s="8" t="str">
        <f t="shared" si="5"/>
        <v/>
      </c>
    </row>
    <row r="54" spans="1:9">
      <c r="A54" s="219" t="s">
        <v>56</v>
      </c>
      <c r="B54" s="348">
        <f>'Fin-1'!B54+'Fin-2'!B54+'Fin-3'!B54</f>
        <v>0</v>
      </c>
      <c r="C54" s="348">
        <f>'Fin-1'!C54+'Fin-2'!C54+'Fin-3'!C54</f>
        <v>0</v>
      </c>
      <c r="D54" s="348">
        <f>'Fin-1'!D54+'Fin-2'!D54+'Fin-3'!D54</f>
        <v>0</v>
      </c>
      <c r="E54" s="348">
        <f>'Fin-1'!E54+'Fin-2'!E54+'Fin-3'!E54</f>
        <v>0</v>
      </c>
      <c r="G54" s="8" t="str">
        <f t="shared" si="5"/>
        <v/>
      </c>
      <c r="H54" s="8" t="str">
        <f t="shared" si="5"/>
        <v/>
      </c>
      <c r="I54" s="8" t="str">
        <f t="shared" si="5"/>
        <v/>
      </c>
    </row>
    <row r="55" spans="1:9">
      <c r="A55" s="219" t="s">
        <v>57</v>
      </c>
      <c r="B55" s="348">
        <f>'Fin-1'!B55+'Fin-2'!B55+'Fin-3'!B55</f>
        <v>0</v>
      </c>
      <c r="C55" s="348">
        <f>'Fin-1'!C55+'Fin-2'!C55+'Fin-3'!C55</f>
        <v>0</v>
      </c>
      <c r="D55" s="348">
        <f>'Fin-1'!D55+'Fin-2'!D55+'Fin-3'!D55</f>
        <v>0</v>
      </c>
      <c r="E55" s="348">
        <f>'Fin-1'!E55+'Fin-2'!E55+'Fin-3'!E55</f>
        <v>0</v>
      </c>
      <c r="G55" s="8" t="str">
        <f t="shared" si="5"/>
        <v/>
      </c>
      <c r="H55" s="8" t="str">
        <f t="shared" si="5"/>
        <v/>
      </c>
      <c r="I55" s="8" t="str">
        <f t="shared" si="5"/>
        <v/>
      </c>
    </row>
    <row r="56" spans="1:9">
      <c r="A56" s="219" t="s">
        <v>58</v>
      </c>
      <c r="B56" s="348">
        <f>'Fin-1'!B56+'Fin-2'!B56+'Fin-3'!B56</f>
        <v>0</v>
      </c>
      <c r="C56" s="348">
        <f>'Fin-1'!C56+'Fin-2'!C56+'Fin-3'!C56</f>
        <v>0</v>
      </c>
      <c r="D56" s="348">
        <f>'Fin-1'!D56+'Fin-2'!D56+'Fin-3'!D56</f>
        <v>0</v>
      </c>
      <c r="E56" s="348">
        <f>'Fin-1'!E56+'Fin-2'!E56+'Fin-3'!E56</f>
        <v>0</v>
      </c>
      <c r="G56" s="8" t="str">
        <f t="shared" si="5"/>
        <v/>
      </c>
      <c r="H56" s="8" t="str">
        <f t="shared" si="5"/>
        <v/>
      </c>
      <c r="I56" s="8" t="str">
        <f t="shared" si="5"/>
        <v/>
      </c>
    </row>
    <row r="57" spans="1:9">
      <c r="A57" s="219" t="s">
        <v>59</v>
      </c>
      <c r="B57" s="348">
        <f>'Fin-1'!B57+'Fin-2'!B57+'Fin-3'!B57</f>
        <v>0</v>
      </c>
      <c r="C57" s="348">
        <f>'Fin-1'!C57+'Fin-2'!C57+'Fin-3'!C57</f>
        <v>0</v>
      </c>
      <c r="D57" s="348">
        <f>'Fin-1'!D57+'Fin-2'!D57+'Fin-3'!D57</f>
        <v>0</v>
      </c>
      <c r="E57" s="348">
        <f>'Fin-1'!E57+'Fin-2'!E57+'Fin-3'!E57</f>
        <v>0</v>
      </c>
      <c r="G57" s="8" t="str">
        <f t="shared" si="5"/>
        <v/>
      </c>
      <c r="H57" s="8" t="str">
        <f t="shared" si="5"/>
        <v/>
      </c>
      <c r="I57" s="8" t="str">
        <f t="shared" si="5"/>
        <v/>
      </c>
    </row>
    <row r="58" spans="1:9">
      <c r="A58" s="219" t="s">
        <v>1644</v>
      </c>
      <c r="B58" s="348">
        <f>'Fin-1'!B58+'Fin-2'!B58+'Fin-3'!B58</f>
        <v>0</v>
      </c>
      <c r="C58" s="348">
        <f>'Fin-1'!C58+'Fin-2'!C58+'Fin-3'!C58</f>
        <v>0</v>
      </c>
      <c r="D58" s="348">
        <f>'Fin-1'!D58+'Fin-2'!D58+'Fin-3'!D58</f>
        <v>0</v>
      </c>
      <c r="E58" s="348">
        <f>'Fin-1'!E58+'Fin-2'!E58+'Fin-3'!E58</f>
        <v>0</v>
      </c>
      <c r="G58" s="8" t="str">
        <f t="shared" si="5"/>
        <v/>
      </c>
      <c r="H58" s="8" t="str">
        <f t="shared" si="5"/>
        <v/>
      </c>
      <c r="I58" s="8" t="str">
        <f t="shared" si="5"/>
        <v/>
      </c>
    </row>
    <row r="59" spans="1:9">
      <c r="A59" s="215" t="s">
        <v>60</v>
      </c>
      <c r="B59" s="216">
        <f>SUM(B54:B58)+B62</f>
        <v>0</v>
      </c>
      <c r="C59" s="216">
        <f>SUM(C54:C58)+C62</f>
        <v>0</v>
      </c>
      <c r="D59" s="217">
        <f>SUM(D54:D58)+D62</f>
        <v>0</v>
      </c>
      <c r="E59" s="216">
        <f>SUM(E54:E58)+E62</f>
        <v>0</v>
      </c>
      <c r="G59" s="8" t="str">
        <f t="shared" si="5"/>
        <v/>
      </c>
      <c r="H59" s="8" t="str">
        <f t="shared" si="5"/>
        <v/>
      </c>
      <c r="I59" s="8" t="str">
        <f t="shared" si="5"/>
        <v/>
      </c>
    </row>
    <row r="60" spans="1:9">
      <c r="A60" s="215" t="s">
        <v>61</v>
      </c>
      <c r="B60" s="216">
        <f>SUM(B61:B64)+B54-B63</f>
        <v>0</v>
      </c>
      <c r="C60" s="216">
        <f>SUM(C61:C64)+C54-C63</f>
        <v>0</v>
      </c>
      <c r="D60" s="217">
        <f>SUM(D61:D64)+D54-D63</f>
        <v>5.93</v>
      </c>
      <c r="E60" s="216">
        <f>SUM(E61:E64)+E54-E63</f>
        <v>0</v>
      </c>
      <c r="G60" s="8" t="str">
        <f t="shared" si="5"/>
        <v/>
      </c>
      <c r="H60" s="8" t="str">
        <f t="shared" si="5"/>
        <v/>
      </c>
      <c r="I60" s="8" t="str">
        <f t="shared" si="5"/>
        <v/>
      </c>
    </row>
    <row r="61" spans="1:9">
      <c r="A61" s="219" t="s">
        <v>62</v>
      </c>
      <c r="B61" s="348">
        <f>'Fin-1'!B61+'Fin-2'!B61+'Fin-3'!B61</f>
        <v>0</v>
      </c>
      <c r="C61" s="348">
        <f>'Fin-1'!C61+'Fin-2'!C61+'Fin-3'!C61</f>
        <v>0</v>
      </c>
      <c r="D61" s="348">
        <f>'Fin-1'!D61+'Fin-2'!D61+'Fin-3'!D61</f>
        <v>0</v>
      </c>
      <c r="E61" s="348">
        <f>'Fin-1'!E61+'Fin-2'!E61+'Fin-3'!E61</f>
        <v>0</v>
      </c>
      <c r="G61" s="8" t="str">
        <f t="shared" si="5"/>
        <v/>
      </c>
      <c r="H61" s="8" t="str">
        <f t="shared" si="5"/>
        <v/>
      </c>
      <c r="I61" s="8" t="str">
        <f t="shared" si="5"/>
        <v/>
      </c>
    </row>
    <row r="62" spans="1:9">
      <c r="A62" s="219" t="s">
        <v>63</v>
      </c>
      <c r="B62" s="348">
        <f>'Fin-1'!B62+'Fin-2'!B62+'Fin-3'!B62</f>
        <v>0</v>
      </c>
      <c r="C62" s="348">
        <f>'Fin-1'!C62+'Fin-2'!C62+'Fin-3'!C62</f>
        <v>0</v>
      </c>
      <c r="D62" s="348">
        <f>'Fin-1'!D62+'Fin-2'!D62+'Fin-3'!D62</f>
        <v>0</v>
      </c>
      <c r="E62" s="348">
        <f>'Fin-1'!E62+'Fin-2'!E62+'Fin-3'!E62</f>
        <v>0</v>
      </c>
      <c r="G62" s="8" t="str">
        <f t="shared" si="5"/>
        <v/>
      </c>
      <c r="H62" s="8" t="str">
        <f t="shared" si="5"/>
        <v/>
      </c>
      <c r="I62" s="8" t="str">
        <f t="shared" si="5"/>
        <v/>
      </c>
    </row>
    <row r="63" spans="1:9">
      <c r="A63" s="219" t="s">
        <v>64</v>
      </c>
      <c r="B63" s="348">
        <f>'Fin-1'!B63+'Fin-2'!B63+'Fin-3'!B63</f>
        <v>0</v>
      </c>
      <c r="C63" s="348">
        <f>'Fin-1'!C63+'Fin-2'!C63+'Fin-3'!C63</f>
        <v>0</v>
      </c>
      <c r="D63" s="348">
        <f>'Fin-1'!D63+'Fin-2'!D63+'Fin-3'!D63</f>
        <v>0</v>
      </c>
      <c r="E63" s="348">
        <f>'Fin-1'!E63+'Fin-2'!E63+'Fin-3'!E63</f>
        <v>0</v>
      </c>
      <c r="G63" s="8" t="str">
        <f t="shared" si="5"/>
        <v/>
      </c>
      <c r="H63" s="8" t="str">
        <f t="shared" si="5"/>
        <v/>
      </c>
      <c r="I63" s="8" t="str">
        <f t="shared" si="5"/>
        <v/>
      </c>
    </row>
    <row r="64" spans="1:9">
      <c r="A64" s="219" t="s">
        <v>65</v>
      </c>
      <c r="B64" s="348">
        <f>'Fin-1'!B64+'Fin-2'!B64+'Fin-3'!B64</f>
        <v>0</v>
      </c>
      <c r="C64" s="348">
        <f>'Fin-1'!C64+'Fin-2'!C64+'Fin-3'!C64</f>
        <v>0</v>
      </c>
      <c r="D64" s="348">
        <f>'Fin-1'!D64+'Fin-2'!D64+'Fin-3'!D64</f>
        <v>5.93</v>
      </c>
      <c r="E64" s="348">
        <f>'Fin-1'!E64+'Fin-2'!E64+'Fin-3'!E64</f>
        <v>0</v>
      </c>
      <c r="G64" s="8" t="str">
        <f t="shared" ref="G64:I66" si="6">IF(OR(B64=0,C64=0),"",(C64-B64)/B64)</f>
        <v/>
      </c>
      <c r="H64" s="8" t="str">
        <f t="shared" si="6"/>
        <v/>
      </c>
      <c r="I64" s="8" t="str">
        <f t="shared" si="6"/>
        <v/>
      </c>
    </row>
    <row r="65" spans="1:9">
      <c r="A65" s="215" t="s">
        <v>66</v>
      </c>
      <c r="B65" s="216">
        <f>B60+B59-B54-B62</f>
        <v>0</v>
      </c>
      <c r="C65" s="216">
        <f>C60+C59-C54-C62</f>
        <v>0</v>
      </c>
      <c r="D65" s="217">
        <f>D60+D59-D54-D62</f>
        <v>5.93</v>
      </c>
      <c r="E65" s="216">
        <f>E60+E59-E54-E62</f>
        <v>0</v>
      </c>
      <c r="G65" s="8" t="str">
        <f t="shared" si="6"/>
        <v/>
      </c>
      <c r="H65" s="8" t="str">
        <f t="shared" si="6"/>
        <v/>
      </c>
      <c r="I65" s="8" t="str">
        <f t="shared" si="6"/>
        <v/>
      </c>
    </row>
    <row r="66" spans="1:9">
      <c r="A66" s="215" t="s">
        <v>67</v>
      </c>
      <c r="B66" s="216">
        <f>B51+B59+B52+B60-B54-B62+B50+B63</f>
        <v>1.0000000000000006E-5</v>
      </c>
      <c r="C66" s="216">
        <f>C51+C59+C52+C60-C54-C62+C50+C63</f>
        <v>0</v>
      </c>
      <c r="D66" s="217">
        <f>D51+D59+D52+D60-D54-D62+D50+D63</f>
        <v>5.93</v>
      </c>
      <c r="E66" s="216">
        <f>E51+E59+E52+E60-E54-E62+E50+E63</f>
        <v>0</v>
      </c>
      <c r="G66" s="8" t="str">
        <f t="shared" si="6"/>
        <v/>
      </c>
      <c r="H66" s="8" t="str">
        <f t="shared" si="6"/>
        <v/>
      </c>
      <c r="I66" s="8" t="str">
        <f t="shared" si="6"/>
        <v/>
      </c>
    </row>
    <row r="67" spans="1:9">
      <c r="A67" s="352"/>
      <c r="B67" s="353"/>
      <c r="C67" s="353"/>
      <c r="D67" s="353"/>
      <c r="E67" s="353"/>
      <c r="G67" s="9"/>
      <c r="H67" s="9"/>
      <c r="I67" s="9"/>
    </row>
    <row r="68" spans="1:9">
      <c r="A68" s="212" t="s">
        <v>1645</v>
      </c>
      <c r="B68" s="211">
        <f>B47</f>
        <v>43555</v>
      </c>
      <c r="C68" s="211">
        <f>C47</f>
        <v>43921</v>
      </c>
      <c r="D68" s="211">
        <f>D47</f>
        <v>44286</v>
      </c>
      <c r="E68" s="211">
        <f>E47</f>
        <v>44651</v>
      </c>
      <c r="G68" s="7">
        <f>G47</f>
        <v>43921</v>
      </c>
      <c r="H68" s="7">
        <f>H47</f>
        <v>44286</v>
      </c>
      <c r="I68" s="7">
        <f>I47</f>
        <v>44651</v>
      </c>
    </row>
    <row r="69" spans="1:9">
      <c r="A69" s="219" t="s">
        <v>68</v>
      </c>
      <c r="B69" s="348">
        <f>'Fin-1'!B69+'Fin-2'!B69+'Fin-3'!B69</f>
        <v>0</v>
      </c>
      <c r="C69" s="348">
        <f>'Fin-1'!C69+'Fin-2'!C69+'Fin-3'!C69</f>
        <v>5.44</v>
      </c>
      <c r="D69" s="348">
        <f>'Fin-1'!D69+'Fin-2'!D69+'Fin-3'!D69</f>
        <v>4.63</v>
      </c>
      <c r="E69" s="348">
        <f>'Fin-1'!E69+'Fin-2'!E69+'Fin-3'!E69</f>
        <v>0</v>
      </c>
      <c r="G69" s="8" t="str">
        <f t="shared" ref="G69:I84" si="7">IF(OR(B69=0,C69=0),"",(C69-B69)/B69)</f>
        <v/>
      </c>
      <c r="H69" s="8">
        <f t="shared" si="7"/>
        <v>-0.14889705882352949</v>
      </c>
      <c r="I69" s="8" t="str">
        <f t="shared" si="7"/>
        <v/>
      </c>
    </row>
    <row r="70" spans="1:9">
      <c r="A70" s="219" t="s">
        <v>69</v>
      </c>
      <c r="B70" s="348">
        <f>'Fin-1'!B70+'Fin-2'!B70+'Fin-3'!B70</f>
        <v>0</v>
      </c>
      <c r="C70" s="348">
        <f>'Fin-1'!C70+'Fin-2'!C70+'Fin-3'!C70</f>
        <v>0</v>
      </c>
      <c r="D70" s="348">
        <f>'Fin-1'!D70+'Fin-2'!D70+'Fin-3'!D70</f>
        <v>0</v>
      </c>
      <c r="E70" s="348">
        <f>'Fin-1'!E70+'Fin-2'!E70+'Fin-3'!E70</f>
        <v>0</v>
      </c>
      <c r="G70" s="8" t="str">
        <f t="shared" si="7"/>
        <v/>
      </c>
      <c r="H70" s="8" t="str">
        <f t="shared" si="7"/>
        <v/>
      </c>
      <c r="I70" s="8" t="str">
        <f t="shared" si="7"/>
        <v/>
      </c>
    </row>
    <row r="71" spans="1:9">
      <c r="A71" s="219" t="s">
        <v>70</v>
      </c>
      <c r="B71" s="348">
        <f>'Fin-1'!B71+'Fin-2'!B71+'Fin-3'!B71</f>
        <v>0</v>
      </c>
      <c r="C71" s="348">
        <f>'Fin-1'!C71+'Fin-2'!C71+'Fin-3'!C71</f>
        <v>0.96</v>
      </c>
      <c r="D71" s="348">
        <f>'Fin-1'!D71+'Fin-2'!D71+'Fin-3'!D71</f>
        <v>0.77</v>
      </c>
      <c r="E71" s="348">
        <f>'Fin-1'!E71+'Fin-2'!E71+'Fin-3'!E71</f>
        <v>0</v>
      </c>
      <c r="G71" s="8" t="str">
        <f t="shared" si="7"/>
        <v/>
      </c>
      <c r="H71" s="8">
        <f t="shared" si="7"/>
        <v>-0.19791666666666663</v>
      </c>
      <c r="I71" s="8" t="str">
        <f t="shared" si="7"/>
        <v/>
      </c>
    </row>
    <row r="72" spans="1:9">
      <c r="A72" s="219" t="s">
        <v>1646</v>
      </c>
      <c r="B72" s="348">
        <f>'Fin-1'!B72+'Fin-2'!B72+'Fin-3'!B72</f>
        <v>0</v>
      </c>
      <c r="C72" s="348">
        <f>'Fin-1'!C72+'Fin-2'!C72+'Fin-3'!C72</f>
        <v>0</v>
      </c>
      <c r="D72" s="348">
        <f>'Fin-1'!D72+'Fin-2'!D72+'Fin-3'!D72</f>
        <v>0</v>
      </c>
      <c r="E72" s="348">
        <f>'Fin-1'!E72+'Fin-2'!E72+'Fin-3'!E72</f>
        <v>0</v>
      </c>
      <c r="G72" s="8" t="str">
        <f t="shared" si="7"/>
        <v/>
      </c>
      <c r="H72" s="8" t="str">
        <f t="shared" si="7"/>
        <v/>
      </c>
      <c r="I72" s="8" t="str">
        <f t="shared" si="7"/>
        <v/>
      </c>
    </row>
    <row r="73" spans="1:9">
      <c r="A73" s="219" t="s">
        <v>1643</v>
      </c>
      <c r="B73" s="348">
        <f>'Fin-1'!B73+'Fin-2'!B73+'Fin-3'!B73</f>
        <v>0</v>
      </c>
      <c r="C73" s="348">
        <f>'Fin-1'!C73+'Fin-2'!C73+'Fin-3'!C73</f>
        <v>0</v>
      </c>
      <c r="D73" s="348">
        <f>'Fin-1'!D73+'Fin-2'!D73+'Fin-3'!D73</f>
        <v>0</v>
      </c>
      <c r="E73" s="348">
        <f>'Fin-1'!E73+'Fin-2'!E73+'Fin-3'!E73</f>
        <v>0</v>
      </c>
      <c r="G73" s="8" t="str">
        <f t="shared" si="7"/>
        <v/>
      </c>
      <c r="H73" s="8" t="str">
        <f t="shared" si="7"/>
        <v/>
      </c>
      <c r="I73" s="8" t="str">
        <f t="shared" si="7"/>
        <v/>
      </c>
    </row>
    <row r="74" spans="1:9">
      <c r="A74" s="215" t="s">
        <v>1647</v>
      </c>
      <c r="B74" s="216">
        <f>B69+B70-B71-B73+B72</f>
        <v>0</v>
      </c>
      <c r="C74" s="216">
        <f>C69+C70-C71-C73+C72</f>
        <v>4.4800000000000004</v>
      </c>
      <c r="D74" s="217">
        <f>D69+D70-D71-D73+D72</f>
        <v>3.86</v>
      </c>
      <c r="E74" s="216">
        <f>E69+E70-E71-E73+E72</f>
        <v>0</v>
      </c>
      <c r="G74" s="8" t="str">
        <f t="shared" si="7"/>
        <v/>
      </c>
      <c r="H74" s="8">
        <f t="shared" si="7"/>
        <v>-0.13839285714285726</v>
      </c>
      <c r="I74" s="8" t="str">
        <f t="shared" si="7"/>
        <v/>
      </c>
    </row>
    <row r="75" spans="1:9">
      <c r="A75" s="215" t="s">
        <v>71</v>
      </c>
      <c r="B75" s="216">
        <f>SUM(B76:B77)</f>
        <v>0</v>
      </c>
      <c r="C75" s="216">
        <f>SUM(C76:C77)</f>
        <v>0</v>
      </c>
      <c r="D75" s="217">
        <f>SUM(D76:D77)</f>
        <v>0</v>
      </c>
      <c r="E75" s="216">
        <f>SUM(E76:E77)</f>
        <v>0</v>
      </c>
      <c r="G75" s="8" t="str">
        <f t="shared" si="7"/>
        <v/>
      </c>
      <c r="H75" s="8" t="str">
        <f t="shared" si="7"/>
        <v/>
      </c>
      <c r="I75" s="8" t="str">
        <f t="shared" si="7"/>
        <v/>
      </c>
    </row>
    <row r="76" spans="1:9">
      <c r="A76" s="219" t="s">
        <v>72</v>
      </c>
      <c r="B76" s="348">
        <f>'Fin-1'!B76+'Fin-2'!B76+'Fin-3'!B76</f>
        <v>0</v>
      </c>
      <c r="C76" s="348">
        <f>'Fin-1'!C76+'Fin-2'!C76+'Fin-3'!C76</f>
        <v>0</v>
      </c>
      <c r="D76" s="348">
        <f>'Fin-1'!D76+'Fin-2'!D76+'Fin-3'!D76</f>
        <v>0</v>
      </c>
      <c r="E76" s="348">
        <f>'Fin-1'!E76+'Fin-2'!E76+'Fin-3'!E76</f>
        <v>0</v>
      </c>
      <c r="G76" s="8" t="str">
        <f t="shared" si="7"/>
        <v/>
      </c>
      <c r="H76" s="8" t="str">
        <f t="shared" si="7"/>
        <v/>
      </c>
      <c r="I76" s="8" t="str">
        <f t="shared" si="7"/>
        <v/>
      </c>
    </row>
    <row r="77" spans="1:9">
      <c r="A77" s="219" t="s">
        <v>73</v>
      </c>
      <c r="B77" s="348">
        <f>'Fin-1'!B77+'Fin-2'!B77+'Fin-3'!B77</f>
        <v>0</v>
      </c>
      <c r="C77" s="348">
        <f>'Fin-1'!C77+'Fin-2'!C77+'Fin-3'!C77</f>
        <v>0</v>
      </c>
      <c r="D77" s="348">
        <f>'Fin-1'!D77+'Fin-2'!D77+'Fin-3'!D77</f>
        <v>0</v>
      </c>
      <c r="E77" s="348">
        <f>'Fin-1'!E77+'Fin-2'!E77+'Fin-3'!E77</f>
        <v>0</v>
      </c>
      <c r="G77" s="8" t="str">
        <f t="shared" si="7"/>
        <v/>
      </c>
      <c r="H77" s="8" t="str">
        <f t="shared" si="7"/>
        <v/>
      </c>
      <c r="I77" s="8" t="str">
        <f t="shared" si="7"/>
        <v/>
      </c>
    </row>
    <row r="78" spans="1:9">
      <c r="A78" s="215" t="s">
        <v>74</v>
      </c>
      <c r="B78" s="216">
        <f>SUM(B79:B84)-B80-B83+B87</f>
        <v>0</v>
      </c>
      <c r="C78" s="216">
        <f>SUM(C79:C84)-C80-C83+C87</f>
        <v>3.81</v>
      </c>
      <c r="D78" s="217">
        <f>SUM(D79:D84)-D80-D83+D87</f>
        <v>18.649999999999999</v>
      </c>
      <c r="E78" s="216">
        <f>SUM(E79:E84)-E80-E83+E87</f>
        <v>0</v>
      </c>
      <c r="G78" s="8" t="str">
        <f t="shared" si="7"/>
        <v/>
      </c>
      <c r="H78" s="8">
        <f t="shared" si="7"/>
        <v>3.8950131233595795</v>
      </c>
      <c r="I78" s="8" t="str">
        <f t="shared" si="7"/>
        <v/>
      </c>
    </row>
    <row r="79" spans="1:9">
      <c r="A79" s="219" t="s">
        <v>75</v>
      </c>
      <c r="B79" s="348">
        <f>'Fin-1'!B79+'Fin-2'!B79+'Fin-3'!B79</f>
        <v>0</v>
      </c>
      <c r="C79" s="348">
        <f>'Fin-1'!C79+'Fin-2'!C79+'Fin-3'!C79</f>
        <v>0</v>
      </c>
      <c r="D79" s="348">
        <f>'Fin-1'!D79+'Fin-2'!D79+'Fin-3'!D79</f>
        <v>0</v>
      </c>
      <c r="E79" s="348">
        <f>'Fin-1'!E79+'Fin-2'!E79+'Fin-3'!E79</f>
        <v>0</v>
      </c>
      <c r="G79" s="8" t="str">
        <f t="shared" si="7"/>
        <v/>
      </c>
      <c r="H79" s="8" t="str">
        <f t="shared" si="7"/>
        <v/>
      </c>
      <c r="I79" s="8" t="str">
        <f t="shared" si="7"/>
        <v/>
      </c>
    </row>
    <row r="80" spans="1:9">
      <c r="A80" s="219" t="s">
        <v>76</v>
      </c>
      <c r="B80" s="348">
        <f>'Fin-1'!B80+'Fin-2'!B80+'Fin-3'!B80</f>
        <v>0</v>
      </c>
      <c r="C80" s="348">
        <f>'Fin-1'!C80+'Fin-2'!C80+'Fin-3'!C80</f>
        <v>0</v>
      </c>
      <c r="D80" s="348">
        <f>'Fin-1'!D80+'Fin-2'!D80+'Fin-3'!D80</f>
        <v>0</v>
      </c>
      <c r="E80" s="348">
        <f>'Fin-1'!E80+'Fin-2'!E80+'Fin-3'!E80</f>
        <v>0</v>
      </c>
      <c r="G80" s="8" t="str">
        <f t="shared" si="7"/>
        <v/>
      </c>
      <c r="H80" s="8" t="str">
        <f t="shared" si="7"/>
        <v/>
      </c>
      <c r="I80" s="8" t="str">
        <f t="shared" si="7"/>
        <v/>
      </c>
    </row>
    <row r="81" spans="1:9">
      <c r="A81" s="219" t="s">
        <v>77</v>
      </c>
      <c r="B81" s="348">
        <f>'Fin-1'!B81+'Fin-2'!B81+'Fin-3'!B81</f>
        <v>0</v>
      </c>
      <c r="C81" s="348">
        <f>'Fin-1'!C81+'Fin-2'!C81+'Fin-3'!C81</f>
        <v>0</v>
      </c>
      <c r="D81" s="348">
        <f>'Fin-1'!D81+'Fin-2'!D81+'Fin-3'!D81</f>
        <v>3.53</v>
      </c>
      <c r="E81" s="348">
        <f>'Fin-1'!E81+'Fin-2'!E81+'Fin-3'!E81</f>
        <v>0</v>
      </c>
      <c r="G81" s="8" t="str">
        <f t="shared" si="7"/>
        <v/>
      </c>
      <c r="H81" s="8" t="str">
        <f t="shared" si="7"/>
        <v/>
      </c>
      <c r="I81" s="8" t="str">
        <f t="shared" si="7"/>
        <v/>
      </c>
    </row>
    <row r="82" spans="1:9">
      <c r="A82" s="219" t="s">
        <v>78</v>
      </c>
      <c r="B82" s="348">
        <f>'Fin-1'!B82+'Fin-2'!B82+'Fin-3'!B82</f>
        <v>0</v>
      </c>
      <c r="C82" s="348">
        <f>'Fin-1'!C82+'Fin-2'!C82+'Fin-3'!C82</f>
        <v>3.81</v>
      </c>
      <c r="D82" s="348">
        <f>'Fin-1'!D82+'Fin-2'!D82+'Fin-3'!D82</f>
        <v>15.12</v>
      </c>
      <c r="E82" s="348">
        <f>'Fin-1'!E82+'Fin-2'!E82+'Fin-3'!E82</f>
        <v>0</v>
      </c>
      <c r="G82" s="8" t="str">
        <f t="shared" si="7"/>
        <v/>
      </c>
      <c r="H82" s="8">
        <f t="shared" si="7"/>
        <v>2.9685039370078736</v>
      </c>
      <c r="I82" s="8" t="str">
        <f t="shared" si="7"/>
        <v/>
      </c>
    </row>
    <row r="83" spans="1:9">
      <c r="A83" s="219" t="s">
        <v>79</v>
      </c>
      <c r="B83" s="348">
        <f>'Fin-1'!B83+'Fin-2'!B83+'Fin-3'!B83</f>
        <v>0</v>
      </c>
      <c r="C83" s="348">
        <f>'Fin-1'!C83+'Fin-2'!C83+'Fin-3'!C83</f>
        <v>0</v>
      </c>
      <c r="D83" s="348">
        <f>'Fin-1'!D83+'Fin-2'!D83+'Fin-3'!D83</f>
        <v>0</v>
      </c>
      <c r="E83" s="348">
        <f>'Fin-1'!E83+'Fin-2'!E83+'Fin-3'!E83</f>
        <v>0</v>
      </c>
      <c r="G83" s="8" t="str">
        <f t="shared" si="7"/>
        <v/>
      </c>
      <c r="H83" s="8" t="str">
        <f t="shared" si="7"/>
        <v/>
      </c>
      <c r="I83" s="8" t="str">
        <f t="shared" si="7"/>
        <v/>
      </c>
    </row>
    <row r="84" spans="1:9">
      <c r="A84" s="219" t="s">
        <v>80</v>
      </c>
      <c r="B84" s="348">
        <f>'Fin-1'!B84+'Fin-2'!B84+'Fin-3'!B84</f>
        <v>0</v>
      </c>
      <c r="C84" s="348">
        <f>'Fin-1'!C84+'Fin-2'!C84+'Fin-3'!C84</f>
        <v>0</v>
      </c>
      <c r="D84" s="348">
        <f>'Fin-1'!D84+'Fin-2'!D84+'Fin-3'!D84</f>
        <v>0</v>
      </c>
      <c r="E84" s="348">
        <f>'Fin-1'!E84+'Fin-2'!E84+'Fin-3'!E84</f>
        <v>0</v>
      </c>
      <c r="G84" s="8" t="str">
        <f t="shared" si="7"/>
        <v/>
      </c>
      <c r="H84" s="8" t="str">
        <f t="shared" si="7"/>
        <v/>
      </c>
      <c r="I84" s="8" t="str">
        <f t="shared" si="7"/>
        <v/>
      </c>
    </row>
    <row r="85" spans="1:9">
      <c r="A85" s="215" t="s">
        <v>81</v>
      </c>
      <c r="B85" s="216">
        <f>SUM(B86:B88)</f>
        <v>0</v>
      </c>
      <c r="C85" s="216">
        <f>SUM(C86:C88)</f>
        <v>0</v>
      </c>
      <c r="D85" s="217">
        <f>SUM(D86:D88)</f>
        <v>0</v>
      </c>
      <c r="E85" s="216">
        <f>SUM(E86:E88)</f>
        <v>0</v>
      </c>
      <c r="G85" s="8" t="str">
        <f t="shared" ref="G85:I92" si="8">IF(OR(B85=0,C85=0),"",(C85-B85)/B85)</f>
        <v/>
      </c>
      <c r="H85" s="8" t="str">
        <f t="shared" si="8"/>
        <v/>
      </c>
      <c r="I85" s="8" t="str">
        <f t="shared" si="8"/>
        <v/>
      </c>
    </row>
    <row r="86" spans="1:9">
      <c r="A86" s="219" t="s">
        <v>1648</v>
      </c>
      <c r="B86" s="348">
        <f>'Fin-1'!B86+'Fin-2'!B86+'Fin-3'!B86</f>
        <v>0</v>
      </c>
      <c r="C86" s="348">
        <f>'Fin-1'!C86+'Fin-2'!C86+'Fin-3'!C86</f>
        <v>0</v>
      </c>
      <c r="D86" s="348">
        <f>'Fin-1'!D86+'Fin-2'!D86+'Fin-3'!D86</f>
        <v>0</v>
      </c>
      <c r="E86" s="348">
        <f>'Fin-1'!E86+'Fin-2'!E86+'Fin-3'!E86</f>
        <v>0</v>
      </c>
      <c r="G86" s="8" t="str">
        <f t="shared" si="8"/>
        <v/>
      </c>
      <c r="H86" s="8" t="str">
        <f t="shared" si="8"/>
        <v/>
      </c>
      <c r="I86" s="8" t="str">
        <f t="shared" si="8"/>
        <v/>
      </c>
    </row>
    <row r="87" spans="1:9">
      <c r="A87" s="219" t="s">
        <v>1649</v>
      </c>
      <c r="B87" s="348">
        <f>'Fin-1'!B87+'Fin-2'!B87+'Fin-3'!B87</f>
        <v>0</v>
      </c>
      <c r="C87" s="348">
        <f>'Fin-1'!C87+'Fin-2'!C87+'Fin-3'!C87</f>
        <v>0</v>
      </c>
      <c r="D87" s="348">
        <f>'Fin-1'!D87+'Fin-2'!D87+'Fin-3'!D87</f>
        <v>0</v>
      </c>
      <c r="E87" s="348">
        <f>'Fin-1'!E87+'Fin-2'!E87+'Fin-3'!E87</f>
        <v>0</v>
      </c>
      <c r="G87" s="8" t="str">
        <f t="shared" si="8"/>
        <v/>
      </c>
      <c r="H87" s="8" t="str">
        <f t="shared" si="8"/>
        <v/>
      </c>
      <c r="I87" s="8" t="str">
        <f t="shared" si="8"/>
        <v/>
      </c>
    </row>
    <row r="88" spans="1:9">
      <c r="A88" s="219" t="s">
        <v>82</v>
      </c>
      <c r="B88" s="348">
        <f>'Fin-1'!B88+'Fin-2'!B88+'Fin-3'!B88</f>
        <v>0</v>
      </c>
      <c r="C88" s="348">
        <f>'Fin-1'!C88+'Fin-2'!C88+'Fin-3'!C88</f>
        <v>0</v>
      </c>
      <c r="D88" s="348">
        <f>'Fin-1'!D88+'Fin-2'!D88+'Fin-3'!D88</f>
        <v>0</v>
      </c>
      <c r="E88" s="348">
        <f>'Fin-1'!E88+'Fin-2'!E88+'Fin-3'!E88</f>
        <v>0</v>
      </c>
      <c r="G88" s="8" t="str">
        <f t="shared" si="8"/>
        <v/>
      </c>
      <c r="H88" s="8" t="str">
        <f t="shared" si="8"/>
        <v/>
      </c>
      <c r="I88" s="8" t="str">
        <f t="shared" si="8"/>
        <v/>
      </c>
    </row>
    <row r="89" spans="1:9">
      <c r="A89" s="219" t="s">
        <v>1650</v>
      </c>
      <c r="B89" s="348">
        <f>'Fin-1'!B89+'Fin-2'!B89+'Fin-3'!B89</f>
        <v>0</v>
      </c>
      <c r="C89" s="348">
        <f>'Fin-1'!C89+'Fin-2'!C89+'Fin-3'!C89</f>
        <v>0</v>
      </c>
      <c r="D89" s="348">
        <f>'Fin-1'!D89+'Fin-2'!D89+'Fin-3'!D89</f>
        <v>0</v>
      </c>
      <c r="E89" s="348">
        <f>'Fin-1'!E89+'Fin-2'!E89+'Fin-3'!E89</f>
        <v>0</v>
      </c>
      <c r="G89" s="8" t="str">
        <f t="shared" si="8"/>
        <v/>
      </c>
      <c r="H89" s="8" t="str">
        <f t="shared" si="8"/>
        <v/>
      </c>
      <c r="I89" s="8" t="str">
        <f t="shared" si="8"/>
        <v/>
      </c>
    </row>
    <row r="90" spans="1:9">
      <c r="A90" s="219" t="s">
        <v>83</v>
      </c>
      <c r="B90" s="348">
        <f>'Fin-1'!B90+'Fin-2'!B90+'Fin-3'!B90</f>
        <v>0</v>
      </c>
      <c r="C90" s="348">
        <f>'Fin-1'!C90+'Fin-2'!C90+'Fin-3'!C90</f>
        <v>0</v>
      </c>
      <c r="D90" s="348">
        <f>'Fin-1'!D90+'Fin-2'!D90+'Fin-3'!D90</f>
        <v>0</v>
      </c>
      <c r="E90" s="348">
        <f>'Fin-1'!E90+'Fin-2'!E90+'Fin-3'!E90</f>
        <v>0</v>
      </c>
      <c r="G90" s="8" t="str">
        <f t="shared" si="8"/>
        <v/>
      </c>
      <c r="H90" s="8" t="str">
        <f t="shared" si="8"/>
        <v/>
      </c>
      <c r="I90" s="8" t="str">
        <f t="shared" si="8"/>
        <v/>
      </c>
    </row>
    <row r="91" spans="1:9">
      <c r="A91" s="219" t="s">
        <v>1651</v>
      </c>
      <c r="B91" s="348">
        <f>'Fin-1'!B91+'Fin-2'!B91+'Fin-3'!B91</f>
        <v>-1.0000000000000006E-5</v>
      </c>
      <c r="C91" s="348">
        <f>'Fin-1'!C91+'Fin-2'!C91+'Fin-3'!C91</f>
        <v>0</v>
      </c>
      <c r="D91" s="348">
        <f>'Fin-1'!D91+'Fin-2'!D91+'Fin-3'!D91</f>
        <v>0</v>
      </c>
      <c r="E91" s="348">
        <f>'Fin-1'!E91+'Fin-2'!E91+'Fin-3'!E91</f>
        <v>0</v>
      </c>
      <c r="G91" s="8" t="str">
        <f t="shared" si="8"/>
        <v/>
      </c>
      <c r="H91" s="8" t="str">
        <f t="shared" si="8"/>
        <v/>
      </c>
      <c r="I91" s="8" t="str">
        <f t="shared" si="8"/>
        <v/>
      </c>
    </row>
    <row r="92" spans="1:9">
      <c r="A92" s="215" t="s">
        <v>84</v>
      </c>
      <c r="B92" s="216">
        <f>B74+B75+B78+B85+B83+B90-B87+B80+B89</f>
        <v>0</v>
      </c>
      <c r="C92" s="216">
        <f>C74+C75+C78+C85+C83+C90-C87+C80+C89</f>
        <v>8.2900000000000009</v>
      </c>
      <c r="D92" s="217">
        <f>D74+D75+D78+D85+D83+D90-D87+D80+D89</f>
        <v>22.509999999999998</v>
      </c>
      <c r="E92" s="216">
        <f>E74+E75+E78+E85+E83+E90-E87+E80+E89</f>
        <v>0</v>
      </c>
      <c r="G92" s="8" t="str">
        <f t="shared" si="8"/>
        <v/>
      </c>
      <c r="H92" s="8">
        <f t="shared" si="8"/>
        <v>1.7153196622436666</v>
      </c>
      <c r="I92" s="8" t="str">
        <f t="shared" si="8"/>
        <v/>
      </c>
    </row>
    <row r="93" spans="1:9">
      <c r="A93" s="221" t="s">
        <v>85</v>
      </c>
      <c r="B93" s="222">
        <f>B66-B92</f>
        <v>1.0000000000000006E-5</v>
      </c>
      <c r="C93" s="222">
        <f>C66-C92</f>
        <v>-8.2900000000000009</v>
      </c>
      <c r="D93" s="223">
        <f>D66-D92</f>
        <v>-16.579999999999998</v>
      </c>
      <c r="E93" s="222">
        <f>E66-E92</f>
        <v>0</v>
      </c>
      <c r="G93" s="671"/>
      <c r="H93" s="672"/>
      <c r="I93" s="673"/>
    </row>
    <row r="94" spans="1:9">
      <c r="A94" s="349"/>
      <c r="B94" s="350"/>
      <c r="C94" s="350"/>
      <c r="D94" s="351"/>
      <c r="E94" s="351"/>
    </row>
    <row r="95" spans="1:9">
      <c r="A95" s="212" t="s">
        <v>86</v>
      </c>
      <c r="B95" s="211" t="str">
        <f>B46</f>
        <v>Audited and Filed</v>
      </c>
      <c r="C95" s="211" t="str">
        <f>C46</f>
        <v>Audited and Filed</v>
      </c>
      <c r="D95" s="211" t="str">
        <f>D46</f>
        <v>Audited and Filed</v>
      </c>
      <c r="E95" s="211" t="str">
        <f>E46</f>
        <v>Audited and Filed</v>
      </c>
      <c r="G95" s="674" t="s">
        <v>87</v>
      </c>
      <c r="H95" s="674"/>
      <c r="I95" s="674"/>
    </row>
    <row r="96" spans="1:9">
      <c r="A96" s="224" t="s">
        <v>88</v>
      </c>
      <c r="B96" s="228"/>
      <c r="C96" s="228">
        <f>IFERROR((C5-B5)/B5,0)</f>
        <v>0</v>
      </c>
      <c r="D96" s="228">
        <f>IFERROR((D5-C5)/C5,0)</f>
        <v>0</v>
      </c>
      <c r="E96" s="228">
        <f>IFERROR((E5-D5)/D5,0)</f>
        <v>0</v>
      </c>
      <c r="G96" s="665"/>
      <c r="H96" s="665"/>
      <c r="I96" s="665"/>
    </row>
    <row r="97" spans="1:9">
      <c r="A97" s="224" t="s">
        <v>89</v>
      </c>
      <c r="B97" s="228">
        <f>IFERROR(B40/(B5+B6),0)</f>
        <v>0</v>
      </c>
      <c r="C97" s="228">
        <f>IFERROR(C40/(C5+C6),0)</f>
        <v>0</v>
      </c>
      <c r="D97" s="228">
        <f>IFERROR(D40/(D5+D6),0)</f>
        <v>0</v>
      </c>
      <c r="E97" s="228">
        <f>IFERROR(E40/(E5+E6),0)</f>
        <v>0</v>
      </c>
      <c r="G97" s="665"/>
      <c r="H97" s="665"/>
      <c r="I97" s="665"/>
    </row>
    <row r="98" spans="1:9">
      <c r="A98" s="224" t="s">
        <v>90</v>
      </c>
      <c r="B98" s="228">
        <f>IFERROR(B42/(B5+B6),0)</f>
        <v>0</v>
      </c>
      <c r="C98" s="228">
        <f>IFERROR(C42/(C5+C6),0)</f>
        <v>0</v>
      </c>
      <c r="D98" s="228">
        <f>IFERROR(D42/(D5+D6),0)</f>
        <v>0</v>
      </c>
      <c r="E98" s="228">
        <f>IFERROR(E42/(E5+E6),0)</f>
        <v>0</v>
      </c>
      <c r="G98" s="665"/>
      <c r="H98" s="665"/>
      <c r="I98" s="665"/>
    </row>
    <row r="99" spans="1:9">
      <c r="A99" s="224" t="s">
        <v>1652</v>
      </c>
      <c r="B99" s="228">
        <f>IFERROR(B23/(B5+B6),0)</f>
        <v>0</v>
      </c>
      <c r="C99" s="228">
        <f>IFERROR(C23/(C5+C6),0)</f>
        <v>0</v>
      </c>
      <c r="D99" s="228">
        <f>IFERROR(D23/(D5+D6),0)</f>
        <v>0</v>
      </c>
      <c r="E99" s="228">
        <f>IFERROR(E23/(E5+E6),0)</f>
        <v>0</v>
      </c>
      <c r="G99" s="665"/>
      <c r="H99" s="665"/>
      <c r="I99" s="665"/>
    </row>
    <row r="100" spans="1:9">
      <c r="A100" s="224" t="s">
        <v>1653</v>
      </c>
      <c r="B100" s="228">
        <f>IFERROR(B29/(B5+B6),0)</f>
        <v>0</v>
      </c>
      <c r="C100" s="228">
        <f>IFERROR(C29/(C5+C6),0)</f>
        <v>0</v>
      </c>
      <c r="D100" s="228">
        <f>IFERROR(D29/(D5+D6),0)</f>
        <v>0</v>
      </c>
      <c r="E100" s="228">
        <f>IFERROR(E29/(E5+E6),0)</f>
        <v>0</v>
      </c>
      <c r="G100" s="665"/>
      <c r="H100" s="665"/>
      <c r="I100" s="665"/>
    </row>
    <row r="101" spans="1:9">
      <c r="A101" s="224" t="s">
        <v>91</v>
      </c>
      <c r="B101" s="225">
        <f>IFERROR((B59-B54-B58+B62)/B53,0)</f>
        <v>0</v>
      </c>
      <c r="C101" s="225">
        <f t="shared" ref="C101:E101" si="9">IFERROR((C59-C54-C58+C62)/C53,0)</f>
        <v>0</v>
      </c>
      <c r="D101" s="225">
        <f t="shared" si="9"/>
        <v>0</v>
      </c>
      <c r="E101" s="225">
        <f t="shared" si="9"/>
        <v>0</v>
      </c>
      <c r="G101" s="665"/>
      <c r="H101" s="665"/>
      <c r="I101" s="665"/>
    </row>
    <row r="102" spans="1:9">
      <c r="A102" s="224" t="s">
        <v>92</v>
      </c>
      <c r="B102" s="225">
        <f>IFERROR(B65/B53,0)</f>
        <v>0</v>
      </c>
      <c r="C102" s="225">
        <f>IFERROR(C65/C53,0)</f>
        <v>0</v>
      </c>
      <c r="D102" s="225">
        <f>IFERROR(D65/D53,0)</f>
        <v>0</v>
      </c>
      <c r="E102" s="225">
        <f>IFERROR(E65/E53,0)</f>
        <v>0</v>
      </c>
      <c r="G102" s="665"/>
      <c r="H102" s="665"/>
      <c r="I102" s="665"/>
    </row>
    <row r="103" spans="1:9">
      <c r="A103" s="224" t="s">
        <v>93</v>
      </c>
      <c r="B103" s="225">
        <f>IFERROR(B29/(B25+B26+B27),0)</f>
        <v>0</v>
      </c>
      <c r="C103" s="225">
        <f>IFERROR(C29/(C25+C26+C27),0)</f>
        <v>0</v>
      </c>
      <c r="D103" s="225">
        <f>IFERROR(D29/(D25+D26+D27),0)</f>
        <v>0</v>
      </c>
      <c r="E103" s="225">
        <f>IFERROR(E29/(E25+E26+E27),0)</f>
        <v>0</v>
      </c>
      <c r="G103" s="665"/>
      <c r="H103" s="665"/>
      <c r="I103" s="665"/>
    </row>
    <row r="104" spans="1:9">
      <c r="A104" s="224" t="s">
        <v>94</v>
      </c>
      <c r="B104" s="225">
        <f>IFERROR((B80+B81)/(B5)*365,0)</f>
        <v>0</v>
      </c>
      <c r="C104" s="225">
        <f>IFERROR((C80+C81)/(C5)*365,0)</f>
        <v>0</v>
      </c>
      <c r="D104" s="225">
        <f>IFERROR((D80+D81)/(D5)*365,0)</f>
        <v>0</v>
      </c>
      <c r="E104" s="225">
        <f>IFERROR((E80+E81)/(E5)*365,0)</f>
        <v>0</v>
      </c>
      <c r="G104" s="665"/>
      <c r="H104" s="665"/>
      <c r="I104" s="665"/>
    </row>
    <row r="105" spans="1:9">
      <c r="A105" s="224" t="s">
        <v>95</v>
      </c>
      <c r="B105" s="225">
        <f>IFERROR(IF(B9=0,0,B79/B9*365),0)</f>
        <v>0</v>
      </c>
      <c r="C105" s="225">
        <f>IFERROR(IF(C9=0,0,C79/C9*365),0)</f>
        <v>0</v>
      </c>
      <c r="D105" s="225">
        <f>IFERROR(IF(D9=0,0,D79/D9*365),0)</f>
        <v>0</v>
      </c>
      <c r="E105" s="225">
        <f>IFERROR(IF(E9=0,0,E79/E9*365),0)</f>
        <v>0</v>
      </c>
      <c r="G105" s="665"/>
      <c r="H105" s="665"/>
      <c r="I105" s="665"/>
    </row>
    <row r="106" spans="1:9">
      <c r="A106" s="224" t="s">
        <v>96</v>
      </c>
      <c r="B106" s="225">
        <f>IFERROR(IF(B9=0,0,B61/B11*365),0)</f>
        <v>0</v>
      </c>
      <c r="C106" s="225">
        <f>IFERROR(IF(C9=0,0,C61/C11*365),0)</f>
        <v>0</v>
      </c>
      <c r="D106" s="225">
        <f>IFERROR(IF(D9=0,0,D61/D11*365),0)</f>
        <v>0</v>
      </c>
      <c r="E106" s="225">
        <f>IFERROR(IF(E9=0,0,E61/E11*365),0)</f>
        <v>0</v>
      </c>
      <c r="G106" s="665"/>
      <c r="H106" s="665"/>
      <c r="I106" s="665"/>
    </row>
    <row r="107" spans="1:9">
      <c r="A107" s="224" t="s">
        <v>97</v>
      </c>
      <c r="B107" s="225">
        <f>IFERROR(B104+B105-B106,0)</f>
        <v>0</v>
      </c>
      <c r="C107" s="225">
        <f>IFERROR(C104+C105-C106,0)</f>
        <v>0</v>
      </c>
      <c r="D107" s="225">
        <f>IFERROR(D104+D105-D106,0)</f>
        <v>0</v>
      </c>
      <c r="E107" s="225">
        <f>IFERROR(E104+E105-E106,0)</f>
        <v>0</v>
      </c>
      <c r="G107" s="665"/>
      <c r="H107" s="665"/>
      <c r="I107" s="665"/>
    </row>
    <row r="108" spans="1:9">
      <c r="A108" s="224" t="s">
        <v>1654</v>
      </c>
      <c r="B108" s="225">
        <f>IFERROR(B78-B60,0)</f>
        <v>0</v>
      </c>
      <c r="C108" s="225">
        <f>IFERROR(C78-C60,0)</f>
        <v>3.81</v>
      </c>
      <c r="D108" s="225">
        <f>IFERROR(D78-D60,0)</f>
        <v>12.719999999999999</v>
      </c>
      <c r="E108" s="225">
        <f>IFERROR(E78-E60,0)</f>
        <v>0</v>
      </c>
      <c r="G108" s="665"/>
      <c r="H108" s="665"/>
      <c r="I108" s="665"/>
    </row>
    <row r="109" spans="1:9">
      <c r="A109" s="224" t="s">
        <v>98</v>
      </c>
      <c r="B109" s="225">
        <f>IFERROR((B78-B84-B83+B86)/B60,0)</f>
        <v>0</v>
      </c>
      <c r="C109" s="225">
        <f>IFERROR((C78-C84-C83+C86)/C60,0)</f>
        <v>0</v>
      </c>
      <c r="D109" s="225">
        <f>IFERROR((D78-D84-D83+D86)/D60,0)</f>
        <v>3.1450252951096123</v>
      </c>
      <c r="E109" s="225">
        <f>IFERROR((E78-E84-E83+E86)/E60,0)</f>
        <v>0</v>
      </c>
      <c r="G109" s="665"/>
      <c r="H109" s="665"/>
      <c r="I109" s="665"/>
    </row>
    <row r="110" spans="1:9">
      <c r="A110" s="224" t="s">
        <v>1655</v>
      </c>
      <c r="B110" s="225">
        <f>IFERROR((B78-B84-B83+B86+B80)/B60,0)</f>
        <v>0</v>
      </c>
      <c r="C110" s="225">
        <f>IFERROR((C78-C84-C83+C86+C80)/C60,0)</f>
        <v>0</v>
      </c>
      <c r="D110" s="225">
        <f>IFERROR((D78-D84-D83+D86+D80)/D60,0)</f>
        <v>3.1450252951096123</v>
      </c>
      <c r="E110" s="225">
        <f>IFERROR((E78-E84-E83+E86+E80)/E60,0)</f>
        <v>0</v>
      </c>
      <c r="G110" s="665"/>
      <c r="H110" s="665"/>
      <c r="I110" s="665"/>
    </row>
    <row r="111" spans="1:9">
      <c r="A111" s="224" t="s">
        <v>1656</v>
      </c>
      <c r="B111" s="225">
        <f>IFERROR((B59-B54-B58+B62)/B23,0)</f>
        <v>0</v>
      </c>
      <c r="C111" s="225">
        <f t="shared" ref="C111:E111" si="10">IFERROR((C59-C54-C58+C62)/C23,0)</f>
        <v>0</v>
      </c>
      <c r="D111" s="225">
        <f t="shared" si="10"/>
        <v>0</v>
      </c>
      <c r="E111" s="225">
        <f t="shared" si="10"/>
        <v>0</v>
      </c>
      <c r="G111" s="665"/>
      <c r="H111" s="665"/>
      <c r="I111" s="665"/>
    </row>
    <row r="112" spans="1:9">
      <c r="A112" s="224" t="s">
        <v>99</v>
      </c>
      <c r="B112" s="225">
        <f>IFERROR(ROUNDUP(B59/B53,2),0)</f>
        <v>0</v>
      </c>
      <c r="C112" s="225">
        <f t="shared" ref="C112:E112" si="11">IFERROR(ROUNDUP(C59/C53,2),0)</f>
        <v>0</v>
      </c>
      <c r="D112" s="225">
        <f t="shared" si="11"/>
        <v>0</v>
      </c>
      <c r="E112" s="225">
        <f t="shared" si="11"/>
        <v>0</v>
      </c>
      <c r="G112" s="665"/>
      <c r="H112" s="665"/>
      <c r="I112" s="665"/>
    </row>
    <row r="113" spans="1:9">
      <c r="A113" s="224" t="s">
        <v>1657</v>
      </c>
      <c r="B113" s="225">
        <f>IFERROR((B23-B38)/(B24+B62),0)</f>
        <v>0</v>
      </c>
      <c r="C113" s="225">
        <f>IFERROR((C23-C38)/(C24+C62),0)</f>
        <v>0</v>
      </c>
      <c r="D113" s="225">
        <f>IFERROR((D23-D38)/(D24+D62),0)</f>
        <v>0</v>
      </c>
      <c r="E113" s="225">
        <f>IFERROR((E23-E38)/(E24+E62),0)</f>
        <v>0</v>
      </c>
      <c r="G113" s="665"/>
      <c r="H113" s="665"/>
      <c r="I113" s="665"/>
    </row>
    <row r="114" spans="1:9">
      <c r="A114" s="354"/>
      <c r="B114" s="355"/>
      <c r="C114" s="355"/>
      <c r="D114" s="356"/>
      <c r="E114" s="356"/>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75"/>
      <c r="C116" s="226"/>
      <c r="D116" s="227"/>
      <c r="E116" s="226"/>
    </row>
    <row r="117" spans="1:9">
      <c r="A117" s="224" t="s">
        <v>102</v>
      </c>
      <c r="B117" s="676"/>
      <c r="C117" s="226">
        <f>C40</f>
        <v>0</v>
      </c>
      <c r="D117" s="227">
        <f>D40</f>
        <v>0</v>
      </c>
      <c r="E117" s="226">
        <f>E40</f>
        <v>0</v>
      </c>
    </row>
    <row r="118" spans="1:9">
      <c r="A118" s="224" t="s">
        <v>103</v>
      </c>
      <c r="B118" s="676"/>
      <c r="C118" s="226">
        <f>C31</f>
        <v>0</v>
      </c>
      <c r="D118" s="227">
        <f>D31</f>
        <v>0</v>
      </c>
      <c r="E118" s="226">
        <f>E31</f>
        <v>0</v>
      </c>
    </row>
    <row r="119" spans="1:9">
      <c r="A119" s="224" t="s">
        <v>1658</v>
      </c>
      <c r="B119" s="676"/>
      <c r="C119" s="226">
        <f>C71-B71-C31</f>
        <v>0.96</v>
      </c>
      <c r="D119" s="227">
        <f>D71-C71-D31</f>
        <v>-0.18999999999999995</v>
      </c>
      <c r="E119" s="226">
        <f>E71-D71-E31</f>
        <v>-0.77</v>
      </c>
    </row>
    <row r="120" spans="1:9">
      <c r="A120" s="224" t="s">
        <v>1659</v>
      </c>
      <c r="B120" s="676"/>
      <c r="C120" s="226">
        <f t="shared" ref="C120:E121" si="12">C32</f>
        <v>0</v>
      </c>
      <c r="D120" s="227">
        <f t="shared" si="12"/>
        <v>0</v>
      </c>
      <c r="E120" s="226">
        <f t="shared" si="12"/>
        <v>0</v>
      </c>
    </row>
    <row r="121" spans="1:9">
      <c r="A121" s="224" t="s">
        <v>104</v>
      </c>
      <c r="B121" s="676"/>
      <c r="C121" s="226">
        <f t="shared" si="12"/>
        <v>0</v>
      </c>
      <c r="D121" s="227">
        <f t="shared" si="12"/>
        <v>0</v>
      </c>
      <c r="E121" s="226">
        <f t="shared" si="12"/>
        <v>0</v>
      </c>
    </row>
    <row r="122" spans="1:9">
      <c r="A122" s="224" t="s">
        <v>105</v>
      </c>
      <c r="B122" s="676"/>
      <c r="C122" s="226">
        <f>SUM(C117:C121)</f>
        <v>0.96</v>
      </c>
      <c r="D122" s="227">
        <f>SUM(D117:D121)</f>
        <v>-0.18999999999999995</v>
      </c>
      <c r="E122" s="226">
        <f>SUM(E117:E121)</f>
        <v>-0.77</v>
      </c>
    </row>
    <row r="123" spans="1:9">
      <c r="A123" s="224" t="s">
        <v>106</v>
      </c>
      <c r="B123" s="676"/>
      <c r="C123" s="226">
        <f>(B78-B82)-(C78-C82)</f>
        <v>0</v>
      </c>
      <c r="D123" s="227">
        <f>(C78-C82)-(D78-D82)</f>
        <v>-3.5299999999999994</v>
      </c>
      <c r="E123" s="226">
        <f>(D78-D82)-(E78-E82)</f>
        <v>3.5299999999999994</v>
      </c>
    </row>
    <row r="124" spans="1:9">
      <c r="A124" s="224" t="s">
        <v>1660</v>
      </c>
      <c r="B124" s="676"/>
      <c r="C124" s="226">
        <f>B89-C89</f>
        <v>0</v>
      </c>
      <c r="D124" s="227">
        <f>C89-D89</f>
        <v>0</v>
      </c>
      <c r="E124" s="226">
        <f>D89-E89</f>
        <v>0</v>
      </c>
    </row>
    <row r="125" spans="1:9">
      <c r="A125" s="224" t="s">
        <v>107</v>
      </c>
      <c r="B125" s="676"/>
      <c r="C125" s="226">
        <f>C60-B60</f>
        <v>0</v>
      </c>
      <c r="D125" s="227">
        <f>D60-C60</f>
        <v>5.93</v>
      </c>
      <c r="E125" s="226">
        <f>E60-D60</f>
        <v>-5.93</v>
      </c>
    </row>
    <row r="126" spans="1:9">
      <c r="A126" s="224" t="s">
        <v>108</v>
      </c>
      <c r="B126" s="676"/>
      <c r="C126" s="216">
        <f>C122+C123+C125</f>
        <v>0.96</v>
      </c>
      <c r="D126" s="217">
        <f>D122+D123+D125</f>
        <v>2.2100000000000004</v>
      </c>
      <c r="E126" s="216">
        <f>E122+E123+E125</f>
        <v>-3.1700000000000004</v>
      </c>
    </row>
    <row r="127" spans="1:9">
      <c r="A127" s="224" t="s">
        <v>109</v>
      </c>
      <c r="B127" s="676"/>
      <c r="C127" s="216">
        <f>C7</f>
        <v>0</v>
      </c>
      <c r="D127" s="217">
        <f>D7</f>
        <v>0</v>
      </c>
      <c r="E127" s="216">
        <f>E7</f>
        <v>0</v>
      </c>
    </row>
    <row r="128" spans="1:9">
      <c r="A128" s="224"/>
      <c r="B128" s="676"/>
      <c r="C128" s="226"/>
      <c r="D128" s="227"/>
      <c r="E128" s="226"/>
    </row>
    <row r="129" spans="1:5">
      <c r="A129" s="224" t="s">
        <v>110</v>
      </c>
      <c r="B129" s="676"/>
      <c r="C129" s="226"/>
      <c r="D129" s="227"/>
      <c r="E129" s="226"/>
    </row>
    <row r="130" spans="1:5">
      <c r="A130" s="224" t="s">
        <v>1661</v>
      </c>
      <c r="B130" s="676"/>
      <c r="C130" s="226">
        <f>B74+B71-C71-C74+B73-C73+B72-C72</f>
        <v>-5.44</v>
      </c>
      <c r="D130" s="227">
        <f>C74+C71-D71-D74+C73-D73+C72-D72</f>
        <v>0.81</v>
      </c>
      <c r="E130" s="226">
        <f>D74+D71-E71-E74+D73-E73+D72-E72</f>
        <v>4.63</v>
      </c>
    </row>
    <row r="131" spans="1:5">
      <c r="A131" s="224" t="s">
        <v>1662</v>
      </c>
      <c r="B131" s="676"/>
      <c r="C131" s="226">
        <f>-(C80-B80+C83-B83+C86-B86)</f>
        <v>0</v>
      </c>
      <c r="D131" s="227">
        <f>-(D80-C80+D83-C83+D86-C86)</f>
        <v>0</v>
      </c>
      <c r="E131" s="226">
        <f>-(E80-D80+E83-D83+E86-D86)</f>
        <v>0</v>
      </c>
    </row>
    <row r="132" spans="1:5">
      <c r="A132" s="224" t="s">
        <v>1663</v>
      </c>
      <c r="B132" s="676"/>
      <c r="C132" s="226">
        <f>B88-C88</f>
        <v>0</v>
      </c>
      <c r="D132" s="227">
        <f>C88-D88</f>
        <v>0</v>
      </c>
      <c r="E132" s="226">
        <f>D88-E88</f>
        <v>0</v>
      </c>
    </row>
    <row r="133" spans="1:5">
      <c r="A133" s="224" t="s">
        <v>111</v>
      </c>
      <c r="B133" s="676"/>
      <c r="C133" s="216">
        <f>SUM(C130:C132)</f>
        <v>-5.44</v>
      </c>
      <c r="D133" s="217">
        <f>SUM(D130:D132)</f>
        <v>0.81</v>
      </c>
      <c r="E133" s="216">
        <f>SUM(E130:E132)</f>
        <v>4.63</v>
      </c>
    </row>
    <row r="134" spans="1:5">
      <c r="A134" s="224"/>
      <c r="B134" s="676"/>
      <c r="C134" s="226"/>
      <c r="D134" s="227"/>
      <c r="E134" s="226"/>
    </row>
    <row r="135" spans="1:5">
      <c r="A135" s="224" t="s">
        <v>112</v>
      </c>
      <c r="B135" s="676"/>
      <c r="C135" s="226"/>
      <c r="D135" s="227"/>
      <c r="E135" s="226"/>
    </row>
    <row r="136" spans="1:5">
      <c r="A136" s="224" t="s">
        <v>113</v>
      </c>
      <c r="B136" s="676"/>
      <c r="C136" s="226">
        <f>C55-B55</f>
        <v>0</v>
      </c>
      <c r="D136" s="227">
        <f>D55-C55</f>
        <v>0</v>
      </c>
      <c r="E136" s="226">
        <f>E55-D55</f>
        <v>0</v>
      </c>
    </row>
    <row r="137" spans="1:5">
      <c r="A137" s="224" t="s">
        <v>114</v>
      </c>
      <c r="B137" s="676"/>
      <c r="C137" s="226">
        <f>C56+C57-B56-B57</f>
        <v>0</v>
      </c>
      <c r="D137" s="227">
        <f>D56+D57-C56-C57</f>
        <v>0</v>
      </c>
      <c r="E137" s="226">
        <f>E56+E57-D56-D57</f>
        <v>0</v>
      </c>
    </row>
    <row r="138" spans="1:5">
      <c r="A138" s="224" t="s">
        <v>115</v>
      </c>
      <c r="B138" s="676"/>
      <c r="C138" s="226">
        <f>(C51-C39)-B51</f>
        <v>-1.0000000000000006E-5</v>
      </c>
      <c r="D138" s="227">
        <f>(D51-D39)-C51</f>
        <v>0</v>
      </c>
      <c r="E138" s="226">
        <f>(E51-E39)-D51</f>
        <v>0</v>
      </c>
    </row>
    <row r="139" spans="1:5">
      <c r="A139" s="224" t="s">
        <v>1664</v>
      </c>
      <c r="B139" s="676"/>
      <c r="C139" s="226">
        <f>C52-B52</f>
        <v>0</v>
      </c>
      <c r="D139" s="227">
        <f>D52-C52</f>
        <v>0</v>
      </c>
      <c r="E139" s="226">
        <f>E52-D52</f>
        <v>0</v>
      </c>
    </row>
    <row r="140" spans="1:5">
      <c r="A140" s="224" t="s">
        <v>116</v>
      </c>
      <c r="B140" s="676"/>
      <c r="C140" s="216">
        <f>SUM(C136:C139)</f>
        <v>-1.0000000000000006E-5</v>
      </c>
      <c r="D140" s="217">
        <f>SUM(D136:D139)</f>
        <v>0</v>
      </c>
      <c r="E140" s="216">
        <f>SUM(E136:E139)</f>
        <v>0</v>
      </c>
    </row>
    <row r="141" spans="1:5">
      <c r="A141" s="224" t="s">
        <v>117</v>
      </c>
      <c r="B141" s="676"/>
      <c r="C141" s="216">
        <f>C126+C127+C133+C140</f>
        <v>-4.48001</v>
      </c>
      <c r="D141" s="217">
        <f>D126+D127+D133+D140</f>
        <v>3.0200000000000005</v>
      </c>
      <c r="E141" s="216">
        <f>E126+E127+E133+E140</f>
        <v>1.4599999999999995</v>
      </c>
    </row>
    <row r="142" spans="1:5">
      <c r="A142" s="224"/>
      <c r="B142" s="676"/>
      <c r="C142" s="226"/>
      <c r="D142" s="227"/>
      <c r="E142" s="226"/>
    </row>
    <row r="143" spans="1:5">
      <c r="A143" s="224" t="s">
        <v>118</v>
      </c>
      <c r="B143" s="676"/>
      <c r="C143" s="216">
        <f>B82</f>
        <v>0</v>
      </c>
      <c r="D143" s="217">
        <f>C82</f>
        <v>3.81</v>
      </c>
      <c r="E143" s="216">
        <f>D82</f>
        <v>15.12</v>
      </c>
    </row>
    <row r="144" spans="1:5">
      <c r="A144" s="224" t="s">
        <v>119</v>
      </c>
      <c r="B144" s="676"/>
      <c r="C144" s="216">
        <f>C82</f>
        <v>3.81</v>
      </c>
      <c r="D144" s="217">
        <f>D82</f>
        <v>15.12</v>
      </c>
      <c r="E144" s="216">
        <f>E82</f>
        <v>0</v>
      </c>
    </row>
    <row r="145" spans="1:5">
      <c r="A145" s="224"/>
      <c r="B145" s="676"/>
      <c r="C145" s="226"/>
      <c r="D145" s="227"/>
      <c r="E145" s="226"/>
    </row>
    <row r="146" spans="1:5">
      <c r="A146" s="221" t="s">
        <v>120</v>
      </c>
      <c r="B146" s="677"/>
      <c r="C146" s="222">
        <f>C143+C141-C144</f>
        <v>-8.2900100000000005</v>
      </c>
      <c r="D146" s="222">
        <f>D143+D141-D144</f>
        <v>-8.2899999999999991</v>
      </c>
      <c r="E146" s="223">
        <f>E143+E141-E144</f>
        <v>16.579999999999998</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xXEPVrH8ixmRdscPkwDmnYbwQrHy71DR2EkcuZn+OQKIaOaRYDpBcYBKlAWd6Yk7Kmi3RBN1tKJpmXAyqNzQ==" saltValue="wzqh4aoaPjODziieaciXBQ==" spinCount="100000" sheet="1" objects="1" scenarios="1"/>
  <mergeCells count="25">
    <mergeCell ref="G95:I95"/>
    <mergeCell ref="A1:I1"/>
    <mergeCell ref="B2:I2"/>
    <mergeCell ref="G3:I3"/>
    <mergeCell ref="G46:I46"/>
    <mergeCell ref="G93:I93"/>
    <mergeCell ref="G107:I107"/>
    <mergeCell ref="G96:I96"/>
    <mergeCell ref="G97:I97"/>
    <mergeCell ref="G98:I98"/>
    <mergeCell ref="G99:I99"/>
    <mergeCell ref="G100:I100"/>
    <mergeCell ref="G101:I101"/>
    <mergeCell ref="G102:I102"/>
    <mergeCell ref="G103:I103"/>
    <mergeCell ref="G104:I104"/>
    <mergeCell ref="G105:I105"/>
    <mergeCell ref="G106:I106"/>
    <mergeCell ref="B116:B146"/>
    <mergeCell ref="G108:I108"/>
    <mergeCell ref="G109:I109"/>
    <mergeCell ref="G110:I110"/>
    <mergeCell ref="G111:I111"/>
    <mergeCell ref="G112:I112"/>
    <mergeCell ref="G113:I11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WC132"/>
  <sheetViews>
    <sheetView showGridLines="0" zoomScaleNormal="100" zoomScaleSheetLayoutView="80" workbookViewId="0">
      <selection activeCell="L8" sqref="L8"/>
    </sheetView>
  </sheetViews>
  <sheetFormatPr defaultColWidth="0" defaultRowHeight="12" zeroHeight="1"/>
  <cols>
    <col min="1" max="1" width="1.42578125" style="10" customWidth="1"/>
    <col min="2" max="2" width="12.28515625" style="46" customWidth="1"/>
    <col min="3" max="4" width="10.7109375" style="46" customWidth="1"/>
    <col min="5" max="6" width="14" style="46" bestFit="1" customWidth="1"/>
    <col min="7" max="7" width="13.140625" style="46" bestFit="1" customWidth="1"/>
    <col min="8" max="8" width="10.28515625" style="46" bestFit="1" customWidth="1"/>
    <col min="9" max="14" width="10.7109375" style="46" customWidth="1"/>
    <col min="15" max="15" width="13.28515625" style="21" customWidth="1"/>
    <col min="16" max="16" width="14.28515625" style="21" bestFit="1" customWidth="1"/>
    <col min="17" max="17" width="9.140625" style="21" customWidth="1"/>
    <col min="18" max="19" width="9.140625" style="22" customWidth="1"/>
    <col min="20" max="21" width="9.140625" style="16" customWidth="1"/>
    <col min="22" max="255" width="9.140625" style="16" hidden="1"/>
    <col min="256" max="275" width="0" style="16" hidden="1"/>
    <col min="276" max="511" width="9.140625" style="16" hidden="1"/>
    <col min="512" max="531" width="0" style="16" hidden="1"/>
    <col min="532" max="767" width="9.140625" style="16" hidden="1"/>
    <col min="768" max="787" width="0" style="16" hidden="1"/>
    <col min="788" max="1023" width="9.140625" style="16" hidden="1"/>
    <col min="1024" max="1043" width="0" style="16" hidden="1"/>
    <col min="1044" max="1279" width="9.140625" style="16" hidden="1"/>
    <col min="1280" max="1299" width="0" style="16" hidden="1"/>
    <col min="1300" max="1535" width="9.140625" style="16" hidden="1"/>
    <col min="1536" max="1555" width="0" style="16" hidden="1"/>
    <col min="1556" max="1791" width="9.140625" style="16" hidden="1"/>
    <col min="1792" max="1811" width="0" style="16" hidden="1"/>
    <col min="1812" max="2047" width="9.140625" style="16" hidden="1"/>
    <col min="2048" max="2067" width="0" style="16" hidden="1"/>
    <col min="2068" max="2303" width="9.140625" style="16" hidden="1"/>
    <col min="2304" max="2323" width="0" style="16" hidden="1"/>
    <col min="2324" max="2559" width="9.140625" style="16" hidden="1"/>
    <col min="2560" max="2579" width="0" style="16" hidden="1"/>
    <col min="2580" max="2815" width="9.140625" style="16" hidden="1"/>
    <col min="2816" max="2835" width="0" style="16" hidden="1"/>
    <col min="2836" max="3071" width="9.140625" style="16" hidden="1"/>
    <col min="3072" max="3091" width="0" style="16" hidden="1"/>
    <col min="3092" max="3327" width="9.140625" style="16" hidden="1"/>
    <col min="3328" max="3347" width="0" style="16" hidden="1"/>
    <col min="3348" max="3583" width="9.140625" style="16" hidden="1"/>
    <col min="3584" max="3603" width="0" style="16" hidden="1"/>
    <col min="3604" max="3839" width="9.140625" style="16" hidden="1"/>
    <col min="3840" max="3859" width="0" style="16" hidden="1"/>
    <col min="3860" max="4095" width="9.140625" style="16" hidden="1"/>
    <col min="4096" max="4115" width="0" style="16" hidden="1"/>
    <col min="4116" max="4351" width="9.140625" style="16" hidden="1"/>
    <col min="4352" max="4371" width="0" style="16" hidden="1"/>
    <col min="4372" max="4607" width="9.140625" style="16" hidden="1"/>
    <col min="4608" max="4627" width="0" style="16" hidden="1"/>
    <col min="4628" max="4863" width="9.140625" style="16" hidden="1"/>
    <col min="4864" max="4883" width="0" style="16" hidden="1"/>
    <col min="4884" max="5119" width="9.140625" style="16" hidden="1"/>
    <col min="5120" max="5139" width="0" style="16" hidden="1"/>
    <col min="5140" max="5375" width="9.140625" style="16" hidden="1"/>
    <col min="5376" max="5395" width="0" style="16" hidden="1"/>
    <col min="5396" max="5631" width="9.140625" style="16" hidden="1"/>
    <col min="5632" max="5651" width="0" style="16" hidden="1"/>
    <col min="5652" max="5887" width="9.140625" style="16" hidden="1"/>
    <col min="5888" max="5907" width="0" style="16" hidden="1"/>
    <col min="5908" max="6143" width="9.140625" style="16" hidden="1"/>
    <col min="6144" max="6163" width="0" style="16" hidden="1"/>
    <col min="6164" max="6399" width="9.140625" style="16" hidden="1"/>
    <col min="6400" max="6419" width="0" style="16" hidden="1"/>
    <col min="6420" max="6655" width="9.140625" style="16" hidden="1"/>
    <col min="6656" max="6675" width="0" style="16" hidden="1"/>
    <col min="6676" max="6911" width="9.140625" style="16" hidden="1"/>
    <col min="6912" max="6931" width="0" style="16" hidden="1"/>
    <col min="6932" max="7167" width="9.140625" style="16" hidden="1"/>
    <col min="7168" max="7187" width="0" style="16" hidden="1"/>
    <col min="7188" max="7423" width="9.140625" style="16" hidden="1"/>
    <col min="7424" max="7443" width="0" style="16" hidden="1"/>
    <col min="7444" max="7679" width="9.140625" style="16" hidden="1"/>
    <col min="7680" max="7699" width="0" style="16" hidden="1"/>
    <col min="7700" max="7935" width="9.140625" style="16" hidden="1"/>
    <col min="7936" max="7955" width="0" style="16" hidden="1"/>
    <col min="7956" max="8191" width="9.140625" style="16" hidden="1"/>
    <col min="8192" max="8211" width="0" style="16" hidden="1"/>
    <col min="8212" max="8447" width="9.140625" style="16" hidden="1"/>
    <col min="8448" max="8467" width="0" style="16" hidden="1"/>
    <col min="8468" max="8703" width="9.140625" style="16" hidden="1"/>
    <col min="8704" max="8723" width="0" style="16" hidden="1"/>
    <col min="8724" max="8959" width="9.140625" style="16" hidden="1"/>
    <col min="8960" max="8979" width="0" style="16" hidden="1"/>
    <col min="8980" max="9215" width="9.140625" style="16" hidden="1"/>
    <col min="9216" max="9235" width="0" style="16" hidden="1"/>
    <col min="9236" max="9471" width="9.140625" style="16" hidden="1"/>
    <col min="9472" max="9491" width="0" style="16" hidden="1"/>
    <col min="9492" max="9727" width="9.140625" style="16" hidden="1"/>
    <col min="9728" max="9747" width="0" style="16" hidden="1"/>
    <col min="9748" max="9983" width="9.140625" style="16" hidden="1"/>
    <col min="9984" max="10003" width="0" style="16" hidden="1"/>
    <col min="10004" max="10239" width="9.140625" style="16" hidden="1"/>
    <col min="10240" max="10259" width="0" style="16" hidden="1"/>
    <col min="10260" max="10495" width="9.140625" style="16" hidden="1"/>
    <col min="10496" max="10515" width="0" style="16" hidden="1"/>
    <col min="10516" max="10751" width="9.140625" style="16" hidden="1"/>
    <col min="10752" max="10771" width="0" style="16" hidden="1"/>
    <col min="10772" max="11007" width="9.140625" style="16" hidden="1"/>
    <col min="11008" max="11027" width="0" style="16" hidden="1"/>
    <col min="11028" max="11263" width="9.140625" style="16" hidden="1"/>
    <col min="11264" max="11283" width="0" style="16" hidden="1"/>
    <col min="11284" max="11519" width="9.140625" style="16" hidden="1"/>
    <col min="11520" max="11539" width="0" style="16" hidden="1"/>
    <col min="11540" max="11775" width="9.140625" style="16" hidden="1"/>
    <col min="11776" max="11795" width="0" style="16" hidden="1"/>
    <col min="11796" max="12031" width="9.140625" style="16" hidden="1"/>
    <col min="12032" max="12051" width="0" style="16" hidden="1"/>
    <col min="12052" max="12287" width="9.140625" style="16" hidden="1"/>
    <col min="12288" max="12307" width="0" style="16" hidden="1"/>
    <col min="12308" max="12543" width="9.140625" style="16" hidden="1"/>
    <col min="12544" max="12563" width="0" style="16" hidden="1"/>
    <col min="12564" max="12799" width="9.140625" style="16" hidden="1"/>
    <col min="12800" max="12819" width="0" style="16" hidden="1"/>
    <col min="12820" max="13055" width="9.140625" style="16" hidden="1"/>
    <col min="13056" max="13075" width="0" style="16" hidden="1"/>
    <col min="13076" max="13311" width="9.140625" style="16" hidden="1"/>
    <col min="13312" max="13331" width="0" style="16" hidden="1"/>
    <col min="13332" max="13567" width="9.140625" style="16" hidden="1"/>
    <col min="13568" max="13587" width="0" style="16" hidden="1"/>
    <col min="13588" max="13823" width="9.140625" style="16" hidden="1"/>
    <col min="13824" max="13843" width="0" style="16" hidden="1"/>
    <col min="13844" max="14079" width="9.140625" style="16" hidden="1"/>
    <col min="14080" max="14099" width="0" style="16" hidden="1"/>
    <col min="14100" max="14335" width="9.140625" style="16" hidden="1"/>
    <col min="14336" max="14355" width="0" style="16" hidden="1"/>
    <col min="14356" max="14591" width="9.140625" style="16" hidden="1"/>
    <col min="14592" max="14611" width="0" style="16" hidden="1"/>
    <col min="14612" max="14847" width="9.140625" style="16" hidden="1"/>
    <col min="14848" max="14867" width="0" style="16" hidden="1"/>
    <col min="14868" max="15103" width="9.140625" style="16" hidden="1"/>
    <col min="15104" max="15123" width="0" style="16" hidden="1"/>
    <col min="15124" max="15359" width="9.140625" style="16" hidden="1"/>
    <col min="15360" max="15379" width="0" style="16" hidden="1"/>
    <col min="15380" max="15615" width="9.140625" style="16" hidden="1"/>
    <col min="15616" max="15635" width="0" style="16" hidden="1"/>
    <col min="15636" max="15871" width="9.140625" style="16" hidden="1"/>
    <col min="15872" max="15891" width="0" style="16" hidden="1"/>
    <col min="15892" max="16127" width="9.140625" style="16" hidden="1"/>
    <col min="16128" max="16149" width="0" style="16" hidden="1"/>
    <col min="16150" max="16384" width="9.140625" style="16" hidden="1"/>
  </cols>
  <sheetData>
    <row r="1" spans="1:19" s="10" customFormat="1" ht="21">
      <c r="B1" s="695" t="s">
        <v>121</v>
      </c>
      <c r="C1" s="696"/>
      <c r="D1" s="696"/>
      <c r="E1" s="696"/>
      <c r="F1" s="696"/>
      <c r="G1" s="696"/>
      <c r="H1" s="696"/>
      <c r="I1" s="696"/>
      <c r="J1" s="696"/>
      <c r="K1" s="696"/>
      <c r="L1" s="696"/>
      <c r="M1" s="696"/>
      <c r="N1" s="696"/>
      <c r="O1" s="696"/>
      <c r="P1" s="696"/>
      <c r="Q1" s="696"/>
      <c r="R1" s="696"/>
      <c r="S1" s="696"/>
    </row>
    <row r="2" spans="1:19" s="15" customFormat="1" ht="36" customHeight="1">
      <c r="B2" s="11" t="s">
        <v>122</v>
      </c>
      <c r="C2" s="699" t="s">
        <v>123</v>
      </c>
      <c r="D2" s="699"/>
      <c r="E2" s="12" t="s">
        <v>124</v>
      </c>
      <c r="F2" s="12" t="s">
        <v>125</v>
      </c>
      <c r="G2" s="12" t="s">
        <v>126</v>
      </c>
      <c r="H2" s="13" t="s">
        <v>127</v>
      </c>
      <c r="I2" s="13" t="s">
        <v>128</v>
      </c>
      <c r="J2" s="14" t="s">
        <v>129</v>
      </c>
      <c r="K2" s="14" t="s">
        <v>130</v>
      </c>
      <c r="L2" s="13" t="s">
        <v>1697</v>
      </c>
      <c r="M2" s="13" t="s">
        <v>1700</v>
      </c>
      <c r="N2" s="100" t="s">
        <v>1511</v>
      </c>
      <c r="O2" s="13" t="s">
        <v>133</v>
      </c>
      <c r="P2" s="13" t="s">
        <v>134</v>
      </c>
      <c r="Q2" s="13" t="s">
        <v>135</v>
      </c>
      <c r="R2" s="700" t="s">
        <v>136</v>
      </c>
      <c r="S2" s="700"/>
    </row>
    <row r="3" spans="1:19">
      <c r="B3" s="454">
        <v>1</v>
      </c>
      <c r="C3" s="697" t="str">
        <f>G15</f>
        <v>MR.ZIAUR RAHMAN</v>
      </c>
      <c r="D3" s="697"/>
      <c r="E3" s="454" t="str">
        <f>C16</f>
        <v>ICICI Bank, India</v>
      </c>
      <c r="F3" s="455" t="str">
        <f>F16</f>
        <v>017501538856</v>
      </c>
      <c r="G3" s="454" t="str">
        <f>J16</f>
        <v>Savings Account</v>
      </c>
      <c r="H3" s="453">
        <f>IF(G3="CC/OD Account",N16,0)</f>
        <v>0</v>
      </c>
      <c r="I3" s="456">
        <f>IF(G3="CC/OD Account",MAX(F18:F29),0)</f>
        <v>0</v>
      </c>
      <c r="J3" s="453">
        <f>IF(SUM(C18:C29)=0,0,AVERAGE(C18:C29))</f>
        <v>6.657104545454545</v>
      </c>
      <c r="K3" s="454">
        <f>IF(SUM(G18:G29)=0,0,ROUND(AVERAGE(G18:G29),))</f>
        <v>3</v>
      </c>
      <c r="L3" s="457">
        <f>F32</f>
        <v>0</v>
      </c>
      <c r="M3" s="457">
        <f>F31</f>
        <v>0</v>
      </c>
      <c r="N3" s="453">
        <f>IFERROR(AVERAGE(N18:N23),0)</f>
        <v>6.172523916666667</v>
      </c>
      <c r="O3" s="453">
        <f>MIN(N18:N23)</f>
        <v>2.5500033333333332</v>
      </c>
      <c r="P3" s="453">
        <f>MAX(N18:N23)</f>
        <v>7.7622510666666669</v>
      </c>
      <c r="Q3" s="454" t="str">
        <f>N15</f>
        <v>Yes</v>
      </c>
      <c r="R3" s="698">
        <f>IF(J3="",0,IF(Q3="Yes",J3*12,0))</f>
        <v>79.885254545454544</v>
      </c>
      <c r="S3" s="698"/>
    </row>
    <row r="4" spans="1:19">
      <c r="B4" s="454">
        <v>2</v>
      </c>
      <c r="C4" s="697">
        <f>G34</f>
        <v>0</v>
      </c>
      <c r="D4" s="697"/>
      <c r="E4" s="454">
        <f>C35</f>
        <v>0</v>
      </c>
      <c r="F4" s="455">
        <f>F35</f>
        <v>0</v>
      </c>
      <c r="G4" s="454">
        <f>J35</f>
        <v>0</v>
      </c>
      <c r="H4" s="453">
        <f>IF(G4="CC/OD Account",N35,0)</f>
        <v>0</v>
      </c>
      <c r="I4" s="456">
        <f>IF(G4="CC/OD Account",MAX(F37:F48),0)</f>
        <v>0</v>
      </c>
      <c r="J4" s="453">
        <f>IF(SUM(C37:C48)=0,0,AVERAGE(C37:C48))</f>
        <v>0</v>
      </c>
      <c r="K4" s="454">
        <f>IF(SUM(G37:G48)=0,0,ROUND(AVERAGE(G37:G48),))</f>
        <v>0</v>
      </c>
      <c r="L4" s="457">
        <f>F51</f>
        <v>0</v>
      </c>
      <c r="M4" s="457">
        <f>F50</f>
        <v>0</v>
      </c>
      <c r="N4" s="453">
        <f>IFERROR(AVERAGE(N37:N42),0)</f>
        <v>0</v>
      </c>
      <c r="O4" s="453">
        <f>MIN(N37:N48)</f>
        <v>0</v>
      </c>
      <c r="P4" s="453">
        <f>MAX(N37:N48)</f>
        <v>0</v>
      </c>
      <c r="Q4" s="454" t="str">
        <f>N34</f>
        <v>Yes</v>
      </c>
      <c r="R4" s="698">
        <f>IF(J4="",0,IF(Q4="Yes",J4*12,0))</f>
        <v>0</v>
      </c>
      <c r="S4" s="698"/>
    </row>
    <row r="5" spans="1:19">
      <c r="B5" s="454">
        <v>3</v>
      </c>
      <c r="C5" s="697">
        <f>G53</f>
        <v>0</v>
      </c>
      <c r="D5" s="697"/>
      <c r="E5" s="454">
        <f>C54</f>
        <v>0</v>
      </c>
      <c r="F5" s="455">
        <f>F54</f>
        <v>0</v>
      </c>
      <c r="G5" s="454">
        <f>J54</f>
        <v>0</v>
      </c>
      <c r="H5" s="453">
        <f>IF(G5="CC/OD Account",N54,0)</f>
        <v>0</v>
      </c>
      <c r="I5" s="456">
        <f>IF(G5="CC/OD Account",MAX(F56:F67),0)</f>
        <v>0</v>
      </c>
      <c r="J5" s="453">
        <f>IF(SUM(C56:C67)=0,0,AVERAGE(C56:C67))</f>
        <v>0</v>
      </c>
      <c r="K5" s="454">
        <f>IF(SUM(G56:G67)=0,0,ROUND(AVERAGE(G56:G67),))</f>
        <v>0</v>
      </c>
      <c r="L5" s="457">
        <f>F70</f>
        <v>0</v>
      </c>
      <c r="M5" s="457">
        <f>F69</f>
        <v>0</v>
      </c>
      <c r="N5" s="453">
        <f>IFERROR(AVERAGE(N56:N67),0)</f>
        <v>0</v>
      </c>
      <c r="O5" s="453">
        <f>MIN(N56:N67)</f>
        <v>0</v>
      </c>
      <c r="P5" s="453">
        <f>MAX(N56:N67)</f>
        <v>0</v>
      </c>
      <c r="Q5" s="454" t="str">
        <f>N53</f>
        <v>Yes</v>
      </c>
      <c r="R5" s="698">
        <f>IF(J5="",0,IF(Q5="Yes",J5*12,0))</f>
        <v>0</v>
      </c>
      <c r="S5" s="698"/>
    </row>
    <row r="6" spans="1:19">
      <c r="B6" s="454">
        <v>4</v>
      </c>
      <c r="C6" s="697">
        <f>G72</f>
        <v>0</v>
      </c>
      <c r="D6" s="697"/>
      <c r="E6" s="454">
        <f>C73</f>
        <v>0</v>
      </c>
      <c r="F6" s="455">
        <f>F73</f>
        <v>0</v>
      </c>
      <c r="G6" s="454">
        <f>J73</f>
        <v>0</v>
      </c>
      <c r="H6" s="453">
        <f>IF(G6="CC/OD Account",N73,0)</f>
        <v>0</v>
      </c>
      <c r="I6" s="456">
        <f>IF(G6="CC/OD Account",MAX(F75:F86),0)</f>
        <v>0</v>
      </c>
      <c r="J6" s="453">
        <f>IF(SUM(C75:C86)=0,0,AVERAGE(C75:C86))</f>
        <v>0</v>
      </c>
      <c r="K6" s="454">
        <f>IF(SUM(G75:G86)=0,0,ROUND(AVERAGE(G75:G86),))</f>
        <v>0</v>
      </c>
      <c r="L6" s="457">
        <f>F89</f>
        <v>0</v>
      </c>
      <c r="M6" s="457">
        <f>F88</f>
        <v>0</v>
      </c>
      <c r="N6" s="453">
        <f>IFERROR(AVERAGE(N75:N86),0)</f>
        <v>0</v>
      </c>
      <c r="O6" s="453">
        <f>MIN(N75:N86)</f>
        <v>0</v>
      </c>
      <c r="P6" s="453">
        <f>MAX(N75:N86)</f>
        <v>0</v>
      </c>
      <c r="Q6" s="454" t="str">
        <f>N72</f>
        <v>Yes</v>
      </c>
      <c r="R6" s="698">
        <f t="shared" ref="R6:R8" si="0">IF(J6="",0,IF(Q6="Yes",J6*12,0))</f>
        <v>0</v>
      </c>
      <c r="S6" s="698"/>
    </row>
    <row r="7" spans="1:19">
      <c r="B7" s="454">
        <v>5</v>
      </c>
      <c r="C7" s="697">
        <f>G91</f>
        <v>0</v>
      </c>
      <c r="D7" s="697"/>
      <c r="E7" s="454">
        <f>C92</f>
        <v>0</v>
      </c>
      <c r="F7" s="455">
        <f>F92</f>
        <v>0</v>
      </c>
      <c r="G7" s="454">
        <f>J92</f>
        <v>0</v>
      </c>
      <c r="H7" s="453">
        <f>IF(G7="CC/OD Account",N92,0)</f>
        <v>0</v>
      </c>
      <c r="I7" s="456">
        <f>IF(G7="CC/OD Account",MAX(F94:F105),0)</f>
        <v>0</v>
      </c>
      <c r="J7" s="453">
        <f>IF(SUM(C94:C105)=0,0,AVERAGE(C94:C105))</f>
        <v>0</v>
      </c>
      <c r="K7" s="454">
        <f>IF(SUM(G94:G105)=0,0,ROUND(AVERAGE(G94:G105),))</f>
        <v>0</v>
      </c>
      <c r="L7" s="457">
        <f>F108</f>
        <v>0</v>
      </c>
      <c r="M7" s="457">
        <f>F107</f>
        <v>0</v>
      </c>
      <c r="N7" s="453">
        <f>IFERROR(AVERAGE(N94:N105),0)</f>
        <v>0</v>
      </c>
      <c r="O7" s="453">
        <f>MIN(N94:N105)</f>
        <v>0</v>
      </c>
      <c r="P7" s="453">
        <f>MAX(N94:N105)</f>
        <v>0</v>
      </c>
      <c r="Q7" s="454" t="str">
        <f>N91</f>
        <v>Yes</v>
      </c>
      <c r="R7" s="698">
        <f t="shared" si="0"/>
        <v>0</v>
      </c>
      <c r="S7" s="698"/>
    </row>
    <row r="8" spans="1:19">
      <c r="B8" s="454">
        <v>6</v>
      </c>
      <c r="C8" s="697">
        <f>G110</f>
        <v>0</v>
      </c>
      <c r="D8" s="697"/>
      <c r="E8" s="454">
        <f>C111</f>
        <v>0</v>
      </c>
      <c r="F8" s="455">
        <f>F111</f>
        <v>0</v>
      </c>
      <c r="G8" s="454">
        <f>J111</f>
        <v>0</v>
      </c>
      <c r="H8" s="453">
        <f>IF(G8="CC/OD Account",N111,0)</f>
        <v>0</v>
      </c>
      <c r="I8" s="456">
        <f>IF(G8="CC/OD Account",MAX(F113:F124),0)</f>
        <v>0</v>
      </c>
      <c r="J8" s="453">
        <f>IF(SUM(C113:C124)=0,0,AVERAGE(C113:C124))</f>
        <v>0</v>
      </c>
      <c r="K8" s="454">
        <f>IF(SUM(G113:G124)=0,0,ROUND(AVERAGE(G113:G124),))</f>
        <v>0</v>
      </c>
      <c r="L8" s="457">
        <f>F127</f>
        <v>0</v>
      </c>
      <c r="M8" s="457">
        <f>F126</f>
        <v>0</v>
      </c>
      <c r="N8" s="453">
        <f>IFERROR(AVERAGE(N113:N124),0)</f>
        <v>0</v>
      </c>
      <c r="O8" s="453">
        <f>MIN(N113:N124)</f>
        <v>0</v>
      </c>
      <c r="P8" s="453">
        <f>MAX(N113:N124)</f>
        <v>0</v>
      </c>
      <c r="Q8" s="454">
        <f>N110</f>
        <v>0</v>
      </c>
      <c r="R8" s="698">
        <f t="shared" si="0"/>
        <v>0</v>
      </c>
      <c r="S8" s="698"/>
    </row>
    <row r="9" spans="1:19" ht="15">
      <c r="B9" s="701" t="s">
        <v>1863</v>
      </c>
      <c r="C9" s="701"/>
      <c r="D9" s="701"/>
      <c r="E9" s="701"/>
      <c r="F9" s="701"/>
      <c r="G9" s="701"/>
      <c r="H9" s="701"/>
      <c r="I9" s="701"/>
      <c r="J9" s="453">
        <f t="shared" ref="J9:P9" si="1">SUM(J3:J8)</f>
        <v>6.657104545454545</v>
      </c>
      <c r="K9" s="453">
        <f t="shared" si="1"/>
        <v>3</v>
      </c>
      <c r="L9" s="457">
        <f>(SUM(I18:I23)+SUM(I37:I42)+SUM(I56:I61)+SUM(I75:I80)+SUM(I94:I99)+SUM(I113:I118))/(SUM(H18:H23)+SUM(H37:H42)+SUM(H56:H61)+SUM(H75:H80)+SUM(H94:H99)+SUM(H113:H118))</f>
        <v>0</v>
      </c>
      <c r="M9" s="457">
        <f>(SUM(J18:J23)+SUM(J37:J42)+SUM(J56:J61)+SUM(J75:J80)+SUM(J94:J99)+SUM(J113:J118))/(SUM(G18:G23)+SUM(G37:G42)+SUM(G56:G61)+SUM(G75:G80)+SUM(G94:G99)+SUM(G113:G118))</f>
        <v>0</v>
      </c>
      <c r="N9" s="453">
        <f t="shared" si="1"/>
        <v>6.172523916666667</v>
      </c>
      <c r="O9" s="453">
        <f t="shared" si="1"/>
        <v>2.5500033333333332</v>
      </c>
      <c r="P9" s="453">
        <f t="shared" si="1"/>
        <v>7.7622510666666669</v>
      </c>
      <c r="Q9" s="454"/>
      <c r="R9" s="698">
        <f>SUM(R3:S8)</f>
        <v>79.885254545454544</v>
      </c>
      <c r="S9" s="698"/>
    </row>
    <row r="10" spans="1:19" s="18" customFormat="1" ht="15" customHeight="1">
      <c r="B10" s="17"/>
      <c r="C10" s="17"/>
      <c r="D10" s="17"/>
      <c r="E10" s="17"/>
      <c r="F10" s="17"/>
      <c r="G10" s="17"/>
      <c r="H10" s="17"/>
      <c r="I10" s="17"/>
      <c r="J10" s="17"/>
      <c r="K10" s="17"/>
      <c r="L10" s="17"/>
      <c r="M10" s="275" t="s">
        <v>1512</v>
      </c>
      <c r="N10" s="276">
        <f>N9/(Eligibility!M5/100000)</f>
        <v>2.4116060184797012</v>
      </c>
      <c r="O10" s="703" t="s">
        <v>1790</v>
      </c>
      <c r="P10" s="703"/>
      <c r="Q10" s="703"/>
      <c r="R10" s="702" t="e">
        <f>R9/HLOOKUP(Workings!K6,Eligibility!G26:H27,2,FALSE)</f>
        <v>#DIV/0!</v>
      </c>
      <c r="S10" s="702"/>
    </row>
    <row r="11" spans="1:19" s="18" customFormat="1">
      <c r="B11" s="17"/>
      <c r="C11" s="17"/>
      <c r="D11" s="17"/>
      <c r="E11" s="17"/>
      <c r="F11" s="17"/>
      <c r="G11" s="17"/>
      <c r="H11" s="17"/>
      <c r="I11" s="17"/>
      <c r="J11" s="17"/>
      <c r="K11" s="17"/>
      <c r="L11" s="17"/>
      <c r="M11" s="259"/>
      <c r="N11" s="260"/>
      <c r="O11" s="261"/>
      <c r="P11" s="259"/>
      <c r="Q11" s="259"/>
      <c r="R11" s="264"/>
      <c r="S11" s="262"/>
    </row>
    <row r="12" spans="1:19" s="18" customFormat="1">
      <c r="B12" s="684" t="s">
        <v>137</v>
      </c>
      <c r="C12" s="684"/>
      <c r="D12" s="684"/>
      <c r="E12" s="684"/>
      <c r="F12" s="684"/>
      <c r="G12" s="684"/>
      <c r="H12" s="684"/>
      <c r="I12" s="684"/>
      <c r="J12" s="684"/>
      <c r="K12" s="684"/>
      <c r="L12" s="684"/>
      <c r="M12" s="684"/>
      <c r="N12" s="684"/>
      <c r="O12" s="17"/>
      <c r="P12" s="17"/>
      <c r="Q12" s="17"/>
    </row>
    <row r="13" spans="1:19" s="22" customFormat="1" ht="15">
      <c r="A13" s="18"/>
      <c r="B13" s="19" t="s">
        <v>138</v>
      </c>
      <c r="C13" s="20"/>
      <c r="D13" s="20"/>
      <c r="E13" s="21"/>
      <c r="F13" s="21"/>
      <c r="G13" s="21"/>
      <c r="H13" s="21"/>
      <c r="I13" s="21"/>
      <c r="J13" s="21"/>
      <c r="K13" s="21"/>
      <c r="L13" s="21"/>
      <c r="M13" s="21"/>
      <c r="N13" s="21"/>
      <c r="O13" s="21"/>
      <c r="P13" s="21"/>
      <c r="Q13" s="21"/>
    </row>
    <row r="14" spans="1:19" s="22" customFormat="1">
      <c r="A14" s="18"/>
      <c r="B14" s="21"/>
      <c r="C14" s="21"/>
      <c r="D14" s="21"/>
      <c r="E14" s="21"/>
      <c r="F14" s="21"/>
      <c r="G14" s="21"/>
      <c r="H14" s="21"/>
      <c r="I14" s="21"/>
      <c r="J14" s="21"/>
      <c r="K14" s="21"/>
      <c r="L14" s="21"/>
      <c r="M14" s="21"/>
      <c r="N14" s="21"/>
      <c r="O14" s="17"/>
      <c r="P14" s="17"/>
      <c r="Q14" s="17"/>
      <c r="R14" s="18"/>
      <c r="S14" s="18"/>
    </row>
    <row r="15" spans="1:19">
      <c r="B15" s="685" t="s">
        <v>139</v>
      </c>
      <c r="C15" s="685"/>
      <c r="D15" s="686" t="s">
        <v>140</v>
      </c>
      <c r="E15" s="686"/>
      <c r="F15" s="686"/>
      <c r="G15" s="687" t="s">
        <v>1859</v>
      </c>
      <c r="H15" s="687"/>
      <c r="I15" s="687"/>
      <c r="J15" s="687"/>
      <c r="K15" s="687"/>
      <c r="L15" s="688" t="s">
        <v>141</v>
      </c>
      <c r="M15" s="688"/>
      <c r="N15" s="23" t="s">
        <v>287</v>
      </c>
      <c r="O15" s="18"/>
      <c r="P15" s="704" t="s">
        <v>1561</v>
      </c>
      <c r="Q15" s="704"/>
      <c r="R15" s="704"/>
      <c r="S15" s="18"/>
    </row>
    <row r="16" spans="1:19" ht="15" customHeight="1">
      <c r="B16" s="24" t="s">
        <v>124</v>
      </c>
      <c r="C16" s="689" t="s">
        <v>1860</v>
      </c>
      <c r="D16" s="689"/>
      <c r="E16" s="24" t="s">
        <v>125</v>
      </c>
      <c r="F16" s="690" t="s">
        <v>1861</v>
      </c>
      <c r="G16" s="689"/>
      <c r="H16" s="686" t="s">
        <v>142</v>
      </c>
      <c r="I16" s="686"/>
      <c r="J16" s="691" t="s">
        <v>1862</v>
      </c>
      <c r="K16" s="691"/>
      <c r="L16" s="686" t="s">
        <v>143</v>
      </c>
      <c r="M16" s="686"/>
      <c r="N16" s="25">
        <v>0</v>
      </c>
      <c r="O16" s="277" t="s">
        <v>1562</v>
      </c>
      <c r="P16" s="22"/>
      <c r="Q16" s="16"/>
      <c r="R16" s="16"/>
      <c r="S16" s="16"/>
    </row>
    <row r="17" spans="2:19" s="29" customFormat="1" ht="36" customHeight="1">
      <c r="B17" s="244" t="s">
        <v>144</v>
      </c>
      <c r="C17" s="244" t="s">
        <v>145</v>
      </c>
      <c r="D17" s="244" t="s">
        <v>146</v>
      </c>
      <c r="E17" s="244" t="s">
        <v>127</v>
      </c>
      <c r="F17" s="244" t="s">
        <v>147</v>
      </c>
      <c r="G17" s="244" t="s">
        <v>148</v>
      </c>
      <c r="H17" s="244" t="s">
        <v>149</v>
      </c>
      <c r="I17" s="244" t="s">
        <v>131</v>
      </c>
      <c r="J17" s="244" t="s">
        <v>132</v>
      </c>
      <c r="K17" s="244" t="s">
        <v>1404</v>
      </c>
      <c r="L17" s="244" t="s">
        <v>150</v>
      </c>
      <c r="M17" s="244" t="s">
        <v>151</v>
      </c>
      <c r="N17" s="244" t="s">
        <v>1693</v>
      </c>
      <c r="O17" s="244" t="s">
        <v>1788</v>
      </c>
    </row>
    <row r="18" spans="2:19" ht="12.75">
      <c r="B18" s="447">
        <v>44620</v>
      </c>
      <c r="C18" s="458">
        <v>5.75</v>
      </c>
      <c r="D18" s="327"/>
      <c r="E18" s="245"/>
      <c r="F18" s="246"/>
      <c r="G18" s="459">
        <v>3</v>
      </c>
      <c r="H18" s="459">
        <v>5</v>
      </c>
      <c r="I18" s="459">
        <v>0</v>
      </c>
      <c r="J18" s="459">
        <v>0</v>
      </c>
      <c r="K18" s="327">
        <v>8.6080318000000009</v>
      </c>
      <c r="L18" s="327">
        <v>7.0798218000000004</v>
      </c>
      <c r="M18" s="327">
        <v>7.0798218000000004</v>
      </c>
      <c r="N18" s="453">
        <f>IF(SUM(K18:M18)=0,0,IF($J$16="CC/OD Account",(E18-AVERAGE(K18:M18)),AVERAGE(K18:M18)))</f>
        <v>7.5892251333333336</v>
      </c>
      <c r="O18" s="453">
        <f>IF(SUM(K18:M18)=0,0,IF($J$16="CC/OD Account",(E18-AVERAGE(K18:M18)),AVERAGE(K18:M18)))</f>
        <v>7.5892251333333336</v>
      </c>
      <c r="P18" s="16"/>
      <c r="Q18" s="16"/>
      <c r="R18" s="16"/>
      <c r="S18" s="16"/>
    </row>
    <row r="19" spans="2:19" ht="12.75">
      <c r="B19" s="448">
        <f>EDATE(B18,-1)</f>
        <v>44589</v>
      </c>
      <c r="C19" s="458">
        <v>7.41</v>
      </c>
      <c r="D19" s="327"/>
      <c r="E19" s="245"/>
      <c r="F19" s="246"/>
      <c r="G19" s="459">
        <v>3</v>
      </c>
      <c r="H19" s="459">
        <v>8</v>
      </c>
      <c r="I19" s="459">
        <v>0</v>
      </c>
      <c r="J19" s="459">
        <v>0</v>
      </c>
      <c r="K19" s="327">
        <v>1.0226500000000001</v>
      </c>
      <c r="L19" s="327">
        <v>8.2326499999999996</v>
      </c>
      <c r="M19" s="327">
        <v>7.90029</v>
      </c>
      <c r="N19" s="453">
        <f t="shared" ref="N19:N29" si="2">IF(SUM(K19:M19)=0,0,IF($J$16="CC/OD Account",(E19-AVERAGE(K19:M19)),AVERAGE(K19:M19)))</f>
        <v>5.7185300000000003</v>
      </c>
      <c r="O19" s="453">
        <f t="shared" ref="O19:O29" si="3">IF(SUM(K19:M19)=0,0,IF($J$16="CC/OD Account",(E19-AVERAGE(K19:M19)),AVERAGE(K19:M19)))</f>
        <v>5.7185300000000003</v>
      </c>
      <c r="P19" s="16"/>
      <c r="Q19" s="16"/>
      <c r="R19" s="16"/>
      <c r="S19" s="16"/>
    </row>
    <row r="20" spans="2:19" ht="12.75">
      <c r="B20" s="448">
        <f>EDATE(B19,-1)</f>
        <v>44558</v>
      </c>
      <c r="C20" s="458">
        <v>7.7247000000000003</v>
      </c>
      <c r="D20" s="327"/>
      <c r="E20" s="245"/>
      <c r="F20" s="246"/>
      <c r="G20" s="459">
        <v>2</v>
      </c>
      <c r="H20" s="459">
        <v>7</v>
      </c>
      <c r="I20" s="459">
        <v>0</v>
      </c>
      <c r="J20" s="459">
        <v>0</v>
      </c>
      <c r="K20" s="327">
        <v>0.10002999999999999</v>
      </c>
      <c r="L20" s="327">
        <v>6.3249899999999997</v>
      </c>
      <c r="M20" s="327">
        <v>1.22499</v>
      </c>
      <c r="N20" s="453">
        <f t="shared" si="2"/>
        <v>2.5500033333333332</v>
      </c>
      <c r="O20" s="453">
        <f t="shared" si="3"/>
        <v>2.5500033333333332</v>
      </c>
      <c r="P20" s="16"/>
      <c r="Q20" s="16"/>
      <c r="R20" s="16"/>
      <c r="S20" s="16"/>
    </row>
    <row r="21" spans="2:19" ht="12.75">
      <c r="B21" s="448">
        <f>EDATE(B20,-1)</f>
        <v>44528</v>
      </c>
      <c r="C21" s="458">
        <v>7.9960500000000003</v>
      </c>
      <c r="D21" s="327"/>
      <c r="E21" s="245"/>
      <c r="F21" s="246"/>
      <c r="G21" s="459">
        <v>2</v>
      </c>
      <c r="H21" s="459">
        <v>10</v>
      </c>
      <c r="I21" s="459">
        <v>0</v>
      </c>
      <c r="J21" s="459">
        <v>0</v>
      </c>
      <c r="K21" s="327">
        <v>9.0953516000000008</v>
      </c>
      <c r="L21" s="327">
        <v>14.091401599999999</v>
      </c>
      <c r="M21" s="327">
        <v>0.1</v>
      </c>
      <c r="N21" s="453">
        <f t="shared" si="2"/>
        <v>7.7622510666666669</v>
      </c>
      <c r="O21" s="453">
        <f t="shared" si="3"/>
        <v>7.7622510666666669</v>
      </c>
      <c r="P21" s="16"/>
      <c r="Q21" s="16"/>
      <c r="R21" s="16"/>
      <c r="S21" s="16"/>
    </row>
    <row r="22" spans="2:19" ht="12.75">
      <c r="B22" s="448">
        <f>EDATE(B21,-1)</f>
        <v>44497</v>
      </c>
      <c r="C22" s="458">
        <v>8.0973000000000006</v>
      </c>
      <c r="D22" s="327"/>
      <c r="E22" s="245"/>
      <c r="F22" s="246"/>
      <c r="G22" s="459">
        <v>2</v>
      </c>
      <c r="H22" s="459">
        <v>17</v>
      </c>
      <c r="I22" s="459">
        <v>0</v>
      </c>
      <c r="J22" s="459">
        <v>0</v>
      </c>
      <c r="K22" s="327">
        <v>4.3500416</v>
      </c>
      <c r="L22" s="327">
        <v>7.3473416</v>
      </c>
      <c r="M22" s="327">
        <v>10.195341600000001</v>
      </c>
      <c r="N22" s="453">
        <f t="shared" si="2"/>
        <v>7.2975749333333342</v>
      </c>
      <c r="O22" s="453">
        <f t="shared" si="3"/>
        <v>7.2975749333333342</v>
      </c>
      <c r="P22" s="16"/>
      <c r="Q22" s="16"/>
      <c r="R22" s="16"/>
      <c r="S22" s="16"/>
    </row>
    <row r="23" spans="2:19" ht="12.75">
      <c r="B23" s="448">
        <f>EDATE(B22,-1)</f>
        <v>44467</v>
      </c>
      <c r="C23" s="458">
        <v>8.11</v>
      </c>
      <c r="D23" s="327"/>
      <c r="E23" s="245"/>
      <c r="F23" s="246"/>
      <c r="G23" s="459">
        <v>3</v>
      </c>
      <c r="H23" s="459">
        <v>13</v>
      </c>
      <c r="I23" s="459">
        <v>0</v>
      </c>
      <c r="J23" s="459">
        <v>0</v>
      </c>
      <c r="K23" s="327">
        <v>2.5490739000000002</v>
      </c>
      <c r="L23" s="327">
        <v>9.3118016000000008</v>
      </c>
      <c r="M23" s="327">
        <v>6.4918016000000005</v>
      </c>
      <c r="N23" s="453">
        <f t="shared" si="2"/>
        <v>6.1175590333333334</v>
      </c>
      <c r="O23" s="453">
        <f t="shared" si="3"/>
        <v>6.1175590333333334</v>
      </c>
      <c r="P23" s="16"/>
      <c r="Q23" s="16"/>
      <c r="R23" s="16"/>
      <c r="S23" s="16"/>
    </row>
    <row r="24" spans="2:19" ht="12.75">
      <c r="B24" s="448">
        <f t="shared" ref="B24:B29" si="4">EDATE(B23,-1)</f>
        <v>44436</v>
      </c>
      <c r="C24" s="458">
        <v>6.1915500000000003</v>
      </c>
      <c r="D24" s="327"/>
      <c r="E24" s="245"/>
      <c r="F24" s="246"/>
      <c r="G24" s="459">
        <v>2</v>
      </c>
      <c r="H24" s="459">
        <v>17</v>
      </c>
      <c r="I24" s="459">
        <v>0</v>
      </c>
      <c r="J24" s="459">
        <v>0</v>
      </c>
      <c r="K24" s="327">
        <v>8.0809039000000009</v>
      </c>
      <c r="L24" s="327">
        <v>8.8390739000000007</v>
      </c>
      <c r="M24" s="327">
        <v>10.2890739</v>
      </c>
      <c r="N24" s="453">
        <f t="shared" si="2"/>
        <v>9.0696839000000011</v>
      </c>
      <c r="O24" s="453">
        <f t="shared" si="3"/>
        <v>9.0696839000000011</v>
      </c>
      <c r="P24" s="16"/>
      <c r="Q24" s="16"/>
      <c r="R24" s="16"/>
      <c r="S24" s="16"/>
    </row>
    <row r="25" spans="2:19" ht="12.75">
      <c r="B25" s="448">
        <f t="shared" si="4"/>
        <v>44405</v>
      </c>
      <c r="C25" s="458">
        <v>5.1840000000000002</v>
      </c>
      <c r="D25" s="327"/>
      <c r="E25" s="245"/>
      <c r="F25" s="246"/>
      <c r="G25" s="459">
        <v>2</v>
      </c>
      <c r="H25" s="459">
        <v>8</v>
      </c>
      <c r="I25" s="459">
        <v>0</v>
      </c>
      <c r="J25" s="459">
        <v>0</v>
      </c>
      <c r="K25" s="327">
        <v>7.2490673999999995</v>
      </c>
      <c r="L25" s="327">
        <v>9.0309039000000002</v>
      </c>
      <c r="M25" s="327">
        <v>11.3809039</v>
      </c>
      <c r="N25" s="453">
        <f t="shared" si="2"/>
        <v>9.2202917333333332</v>
      </c>
      <c r="O25" s="453">
        <f t="shared" si="3"/>
        <v>9.2202917333333332</v>
      </c>
      <c r="P25" s="16"/>
      <c r="Q25" s="16"/>
      <c r="R25" s="16"/>
      <c r="S25" s="16"/>
    </row>
    <row r="26" spans="2:19" ht="12.75">
      <c r="B26" s="448">
        <f t="shared" si="4"/>
        <v>44375</v>
      </c>
      <c r="C26" s="458">
        <v>3.9641000000000002</v>
      </c>
      <c r="D26" s="245"/>
      <c r="E26" s="245"/>
      <c r="F26" s="246"/>
      <c r="G26" s="459">
        <v>4</v>
      </c>
      <c r="H26" s="459">
        <v>8</v>
      </c>
      <c r="I26" s="459">
        <v>0</v>
      </c>
      <c r="J26" s="459">
        <v>0</v>
      </c>
      <c r="K26" s="245">
        <v>6.1358573999999999</v>
      </c>
      <c r="L26" s="245">
        <v>4.8275873999999996</v>
      </c>
      <c r="M26" s="245">
        <v>7.3275873999999996</v>
      </c>
      <c r="N26" s="453">
        <f t="shared" si="2"/>
        <v>6.0970107333333337</v>
      </c>
      <c r="O26" s="453">
        <f t="shared" si="3"/>
        <v>6.0970107333333337</v>
      </c>
      <c r="P26" s="16"/>
      <c r="Q26" s="16"/>
      <c r="R26" s="16"/>
      <c r="S26" s="16"/>
    </row>
    <row r="27" spans="2:19" ht="12.75">
      <c r="B27" s="448">
        <f t="shared" si="4"/>
        <v>44344</v>
      </c>
      <c r="C27" s="458">
        <v>7.0204500000000003</v>
      </c>
      <c r="D27" s="245"/>
      <c r="E27" s="245"/>
      <c r="F27" s="246"/>
      <c r="G27" s="459">
        <v>2</v>
      </c>
      <c r="H27" s="459">
        <v>16</v>
      </c>
      <c r="I27" s="459">
        <v>0</v>
      </c>
      <c r="J27" s="459">
        <v>0</v>
      </c>
      <c r="K27" s="245">
        <v>8.5198947</v>
      </c>
      <c r="L27" s="245">
        <v>11.1503447</v>
      </c>
      <c r="M27" s="245">
        <v>7.9158574000000002</v>
      </c>
      <c r="N27" s="453">
        <f t="shared" si="2"/>
        <v>9.1953656000000006</v>
      </c>
      <c r="O27" s="453">
        <f t="shared" si="3"/>
        <v>9.1953656000000006</v>
      </c>
      <c r="P27" s="16"/>
      <c r="Q27" s="16"/>
      <c r="R27" s="16"/>
      <c r="S27" s="16"/>
    </row>
    <row r="28" spans="2:19" ht="12.75">
      <c r="B28" s="448">
        <f t="shared" si="4"/>
        <v>44314</v>
      </c>
      <c r="C28" s="458">
        <v>5.78</v>
      </c>
      <c r="D28" s="245"/>
      <c r="E28" s="245"/>
      <c r="F28" s="246"/>
      <c r="G28" s="459">
        <v>3</v>
      </c>
      <c r="H28" s="459">
        <v>16</v>
      </c>
      <c r="I28" s="459">
        <v>0</v>
      </c>
      <c r="J28" s="459">
        <v>0</v>
      </c>
      <c r="K28" s="245">
        <v>14.9513547</v>
      </c>
      <c r="L28" s="245">
        <v>19.0998947</v>
      </c>
      <c r="M28" s="245">
        <v>13.0198947</v>
      </c>
      <c r="N28" s="453">
        <f t="shared" si="2"/>
        <v>15.690381366666669</v>
      </c>
      <c r="O28" s="453">
        <f t="shared" si="3"/>
        <v>15.690381366666669</v>
      </c>
      <c r="P28" s="16"/>
      <c r="Q28" s="16"/>
      <c r="R28" s="16"/>
      <c r="S28" s="16"/>
    </row>
    <row r="29" spans="2:19">
      <c r="B29" s="448">
        <f t="shared" si="4"/>
        <v>44283</v>
      </c>
      <c r="C29" s="245"/>
      <c r="D29" s="245"/>
      <c r="E29" s="245"/>
      <c r="F29" s="246"/>
      <c r="G29" s="245"/>
      <c r="H29" s="245"/>
      <c r="I29" s="245"/>
      <c r="J29" s="245"/>
      <c r="K29" s="245"/>
      <c r="L29" s="245"/>
      <c r="M29" s="245"/>
      <c r="N29" s="453">
        <f t="shared" si="2"/>
        <v>0</v>
      </c>
      <c r="O29" s="453">
        <f t="shared" si="3"/>
        <v>0</v>
      </c>
      <c r="P29" s="16"/>
      <c r="Q29" s="16"/>
      <c r="R29" s="16"/>
      <c r="S29" s="16"/>
    </row>
    <row r="30" spans="2:19">
      <c r="B30" s="449" t="s">
        <v>152</v>
      </c>
      <c r="C30" s="450">
        <f>IFERROR(SUM(C18:C29)/COUNTA(C18:C29),0)</f>
        <v>6.657104545454545</v>
      </c>
      <c r="D30" s="450">
        <f>IFERROR(SUM(D18:D29)/COUNTA(D18:D29),0)</f>
        <v>0</v>
      </c>
      <c r="E30" s="451"/>
      <c r="F30" s="450">
        <f t="shared" ref="F30:O30" si="5">IFERROR(SUM(F18:F29)/COUNTA(F18:F29),0)</f>
        <v>0</v>
      </c>
      <c r="G30" s="450">
        <f t="shared" si="5"/>
        <v>2.5454545454545454</v>
      </c>
      <c r="H30" s="452">
        <f t="shared" si="5"/>
        <v>11.363636363636363</v>
      </c>
      <c r="I30" s="452">
        <f t="shared" si="5"/>
        <v>0</v>
      </c>
      <c r="J30" s="452">
        <f t="shared" si="5"/>
        <v>0</v>
      </c>
      <c r="K30" s="450">
        <f t="shared" si="5"/>
        <v>6.4238415454545468</v>
      </c>
      <c r="L30" s="450">
        <f t="shared" si="5"/>
        <v>9.5759828363636377</v>
      </c>
      <c r="M30" s="450">
        <f t="shared" si="5"/>
        <v>7.5386874818181813</v>
      </c>
      <c r="N30" s="450">
        <f t="shared" si="5"/>
        <v>7.1923230694444449</v>
      </c>
      <c r="O30" s="450">
        <f t="shared" si="5"/>
        <v>7.1923230694444449</v>
      </c>
      <c r="P30" s="16"/>
      <c r="Q30" s="16"/>
      <c r="R30" s="16"/>
      <c r="S30" s="16"/>
    </row>
    <row r="31" spans="2:19" ht="13.5" customHeight="1">
      <c r="B31" s="250" t="s">
        <v>153</v>
      </c>
      <c r="C31" s="251">
        <f>SUM(C18:C29)</f>
        <v>73.228149999999999</v>
      </c>
      <c r="D31" s="682" t="s">
        <v>1699</v>
      </c>
      <c r="E31" s="682"/>
      <c r="F31" s="249">
        <f>IFERROR(SUM(J18:J23)/SUM(G18:G23),0)</f>
        <v>0</v>
      </c>
      <c r="G31" s="252">
        <f>SUM(G18:G29)</f>
        <v>28</v>
      </c>
      <c r="H31" s="252">
        <f>SUM(H18:H29)</f>
        <v>125</v>
      </c>
      <c r="I31" s="252">
        <f>SUM(I18:I29)</f>
        <v>0</v>
      </c>
      <c r="J31" s="252">
        <f>SUM(J18:J29)</f>
        <v>0</v>
      </c>
      <c r="K31" s="705" t="s">
        <v>154</v>
      </c>
      <c r="L31" s="705"/>
      <c r="M31" s="705"/>
      <c r="N31" s="251">
        <f>MIN(N18:N23)</f>
        <v>2.5500033333333332</v>
      </c>
      <c r="O31" s="251">
        <f>MIN(O18:O23)</f>
        <v>2.5500033333333332</v>
      </c>
      <c r="P31" s="16"/>
      <c r="Q31" s="16"/>
      <c r="R31" s="16"/>
      <c r="S31" s="16"/>
    </row>
    <row r="32" spans="2:19" s="10" customFormat="1">
      <c r="B32" s="250" t="s">
        <v>155</v>
      </c>
      <c r="C32" s="251">
        <f>C30*12</f>
        <v>79.885254545454544</v>
      </c>
      <c r="D32" s="682" t="s">
        <v>1696</v>
      </c>
      <c r="E32" s="682"/>
      <c r="F32" s="254">
        <f>IFERROR(SUM(I18:I23)/SUM(H18:H23),0)</f>
        <v>0</v>
      </c>
      <c r="G32" s="682" t="s">
        <v>1695</v>
      </c>
      <c r="H32" s="682"/>
      <c r="I32" s="253">
        <f>IF(H31&lt;=0,"",I31/H31)</f>
        <v>0</v>
      </c>
      <c r="J32" s="253">
        <f>IF(G31&lt;=0,"",J31/G31)</f>
        <v>0</v>
      </c>
      <c r="K32" s="705" t="s">
        <v>156</v>
      </c>
      <c r="L32" s="705"/>
      <c r="M32" s="705"/>
      <c r="N32" s="251">
        <f>MAX(N18:N23)</f>
        <v>7.7622510666666669</v>
      </c>
      <c r="O32" s="251">
        <f>MAX(O18:O23)</f>
        <v>7.7622510666666669</v>
      </c>
    </row>
    <row r="33" spans="2:20" s="10" customFormat="1">
      <c r="B33" s="17"/>
      <c r="C33" s="17"/>
      <c r="D33" s="17"/>
      <c r="E33" s="17"/>
      <c r="F33" s="17"/>
      <c r="G33" s="17"/>
      <c r="H33" s="17"/>
      <c r="I33" s="17"/>
      <c r="J33" s="17"/>
      <c r="K33" s="17"/>
      <c r="L33" s="17"/>
      <c r="M33" s="17"/>
      <c r="N33" s="17"/>
      <c r="O33" s="17"/>
      <c r="P33" s="17"/>
      <c r="Q33" s="17"/>
      <c r="R33" s="18"/>
      <c r="S33" s="18"/>
    </row>
    <row r="34" spans="2:20">
      <c r="B34" s="685" t="s">
        <v>157</v>
      </c>
      <c r="C34" s="685"/>
      <c r="D34" s="686" t="s">
        <v>140</v>
      </c>
      <c r="E34" s="686"/>
      <c r="F34" s="686"/>
      <c r="G34" s="687"/>
      <c r="H34" s="687"/>
      <c r="I34" s="687"/>
      <c r="J34" s="687"/>
      <c r="K34" s="687"/>
      <c r="L34" s="688" t="s">
        <v>141</v>
      </c>
      <c r="M34" s="688"/>
      <c r="N34" s="23" t="s">
        <v>287</v>
      </c>
      <c r="O34" s="18"/>
      <c r="P34" s="17"/>
      <c r="Q34" s="17"/>
      <c r="R34" s="18"/>
      <c r="S34" s="18"/>
      <c r="T34" s="10"/>
    </row>
    <row r="35" spans="2:20" ht="15" customHeight="1">
      <c r="B35" s="24" t="s">
        <v>124</v>
      </c>
      <c r="C35" s="689"/>
      <c r="D35" s="689"/>
      <c r="E35" s="24" t="s">
        <v>125</v>
      </c>
      <c r="F35" s="690"/>
      <c r="G35" s="689"/>
      <c r="H35" s="686" t="s">
        <v>142</v>
      </c>
      <c r="I35" s="686"/>
      <c r="J35" s="687"/>
      <c r="K35" s="687"/>
      <c r="L35" s="686" t="s">
        <v>143</v>
      </c>
      <c r="M35" s="686"/>
      <c r="N35" s="25"/>
      <c r="O35" s="144"/>
      <c r="P35" s="144"/>
      <c r="Q35" s="17"/>
      <c r="R35" s="18"/>
      <c r="S35" s="18"/>
      <c r="T35" s="10"/>
    </row>
    <row r="36" spans="2:20" s="29" customFormat="1" ht="36">
      <c r="B36" s="26" t="s">
        <v>144</v>
      </c>
      <c r="C36" s="26" t="s">
        <v>145</v>
      </c>
      <c r="D36" s="26" t="s">
        <v>146</v>
      </c>
      <c r="E36" s="26" t="s">
        <v>127</v>
      </c>
      <c r="F36" s="26" t="s">
        <v>147</v>
      </c>
      <c r="G36" s="26" t="s">
        <v>148</v>
      </c>
      <c r="H36" s="26" t="s">
        <v>149</v>
      </c>
      <c r="I36" s="26" t="s">
        <v>131</v>
      </c>
      <c r="J36" s="26" t="s">
        <v>132</v>
      </c>
      <c r="K36" s="26" t="s">
        <v>1404</v>
      </c>
      <c r="L36" s="26" t="s">
        <v>150</v>
      </c>
      <c r="M36" s="26" t="s">
        <v>151</v>
      </c>
      <c r="N36" s="26" t="s">
        <v>1693</v>
      </c>
      <c r="O36" s="244" t="s">
        <v>1789</v>
      </c>
      <c r="P36" s="27"/>
      <c r="Q36" s="27"/>
      <c r="R36" s="28"/>
      <c r="S36" s="28"/>
    </row>
    <row r="37" spans="2:20" ht="12.75">
      <c r="B37" s="36"/>
      <c r="C37" s="406"/>
      <c r="D37" s="327"/>
      <c r="E37" s="327"/>
      <c r="F37" s="33"/>
      <c r="G37" s="407"/>
      <c r="H37" s="407"/>
      <c r="I37" s="407"/>
      <c r="J37" s="407"/>
      <c r="K37" s="327"/>
      <c r="L37" s="327"/>
      <c r="M37" s="327"/>
      <c r="N37" s="35"/>
      <c r="O37" s="247"/>
      <c r="P37" s="17"/>
      <c r="Q37" s="17"/>
      <c r="R37" s="18"/>
      <c r="S37" s="18"/>
      <c r="T37" s="10"/>
    </row>
    <row r="38" spans="2:20" ht="12.75">
      <c r="B38" s="36"/>
      <c r="C38" s="406"/>
      <c r="D38" s="327"/>
      <c r="E38" s="327"/>
      <c r="F38" s="33"/>
      <c r="G38" s="407"/>
      <c r="H38" s="407"/>
      <c r="I38" s="407"/>
      <c r="J38" s="407"/>
      <c r="K38" s="327"/>
      <c r="L38" s="327"/>
      <c r="M38" s="327"/>
      <c r="N38" s="35"/>
      <c r="O38" s="247"/>
      <c r="P38" s="17"/>
      <c r="Q38" s="17"/>
      <c r="R38" s="18"/>
      <c r="S38" s="18"/>
      <c r="T38" s="10"/>
    </row>
    <row r="39" spans="2:20" ht="12.75">
      <c r="B39" s="36"/>
      <c r="C39" s="406"/>
      <c r="D39" s="327"/>
      <c r="E39" s="327"/>
      <c r="F39" s="33"/>
      <c r="G39" s="407"/>
      <c r="H39" s="407"/>
      <c r="I39" s="407"/>
      <c r="J39" s="407"/>
      <c r="K39" s="327"/>
      <c r="L39" s="327"/>
      <c r="M39" s="327"/>
      <c r="N39" s="35"/>
      <c r="O39" s="247"/>
      <c r="P39" s="17"/>
      <c r="Q39" s="17"/>
      <c r="R39" s="18"/>
      <c r="S39" s="18"/>
      <c r="T39" s="10"/>
    </row>
    <row r="40" spans="2:20" ht="12.75">
      <c r="B40" s="36"/>
      <c r="C40" s="406"/>
      <c r="D40" s="327"/>
      <c r="E40" s="327"/>
      <c r="F40" s="33"/>
      <c r="G40" s="407"/>
      <c r="H40" s="407"/>
      <c r="I40" s="407"/>
      <c r="J40" s="407"/>
      <c r="K40" s="327"/>
      <c r="L40" s="327"/>
      <c r="M40" s="327"/>
      <c r="N40" s="35"/>
      <c r="O40" s="247"/>
      <c r="P40" s="17"/>
      <c r="Q40" s="17"/>
      <c r="R40" s="18"/>
      <c r="S40" s="18"/>
      <c r="T40" s="10"/>
    </row>
    <row r="41" spans="2:20" ht="12.75">
      <c r="B41" s="36"/>
      <c r="C41" s="406"/>
      <c r="D41" s="327"/>
      <c r="E41" s="327"/>
      <c r="F41" s="33"/>
      <c r="G41" s="407"/>
      <c r="H41" s="407"/>
      <c r="I41" s="407"/>
      <c r="J41" s="407"/>
      <c r="K41" s="327"/>
      <c r="L41" s="327"/>
      <c r="M41" s="327"/>
      <c r="N41" s="35"/>
      <c r="O41" s="247"/>
      <c r="P41" s="17"/>
      <c r="Q41" s="17"/>
      <c r="R41" s="18"/>
      <c r="S41" s="18"/>
      <c r="T41" s="10"/>
    </row>
    <row r="42" spans="2:20" ht="12.75">
      <c r="B42" s="36"/>
      <c r="C42" s="406"/>
      <c r="D42" s="327"/>
      <c r="E42" s="327"/>
      <c r="F42" s="33"/>
      <c r="G42" s="407"/>
      <c r="H42" s="407"/>
      <c r="I42" s="407"/>
      <c r="J42" s="407"/>
      <c r="K42" s="327"/>
      <c r="L42" s="327"/>
      <c r="M42" s="327"/>
      <c r="N42" s="35"/>
      <c r="O42" s="247"/>
      <c r="P42" s="17"/>
      <c r="Q42" s="17"/>
      <c r="R42" s="18"/>
      <c r="S42" s="18"/>
      <c r="T42" s="10"/>
    </row>
    <row r="43" spans="2:20" ht="12.75">
      <c r="B43" s="36"/>
      <c r="C43" s="406"/>
      <c r="D43" s="327"/>
      <c r="E43" s="327"/>
      <c r="F43" s="33"/>
      <c r="G43" s="407"/>
      <c r="H43" s="407"/>
      <c r="I43" s="407"/>
      <c r="J43" s="407"/>
      <c r="K43" s="328"/>
      <c r="L43" s="328"/>
      <c r="M43" s="328"/>
      <c r="N43" s="35"/>
      <c r="O43" s="247"/>
      <c r="P43" s="17"/>
      <c r="Q43" s="17"/>
      <c r="R43" s="18"/>
      <c r="S43" s="18"/>
      <c r="T43" s="10"/>
    </row>
    <row r="44" spans="2:20" ht="12.75">
      <c r="B44" s="36"/>
      <c r="C44" s="406"/>
      <c r="D44" s="327"/>
      <c r="E44" s="327"/>
      <c r="F44" s="33"/>
      <c r="G44" s="407"/>
      <c r="H44" s="407"/>
      <c r="I44" s="407"/>
      <c r="J44" s="407"/>
      <c r="K44" s="328"/>
      <c r="L44" s="328"/>
      <c r="M44" s="328"/>
      <c r="N44" s="35"/>
      <c r="O44" s="247"/>
      <c r="P44" s="17"/>
      <c r="Q44" s="17"/>
      <c r="R44" s="18"/>
      <c r="S44" s="18"/>
      <c r="T44" s="10"/>
    </row>
    <row r="45" spans="2:20">
      <c r="B45" s="36"/>
      <c r="C45" s="327"/>
      <c r="D45" s="327"/>
      <c r="E45" s="327"/>
      <c r="F45" s="33"/>
      <c r="G45" s="328"/>
      <c r="H45" s="328"/>
      <c r="I45" s="328"/>
      <c r="J45" s="328"/>
      <c r="K45" s="328"/>
      <c r="L45" s="328"/>
      <c r="M45" s="328"/>
      <c r="N45" s="35"/>
      <c r="O45" s="247"/>
      <c r="P45" s="17"/>
      <c r="Q45" s="17"/>
      <c r="R45" s="18"/>
      <c r="S45" s="18"/>
      <c r="T45" s="10"/>
    </row>
    <row r="46" spans="2:20">
      <c r="B46" s="36"/>
      <c r="C46" s="327"/>
      <c r="D46" s="327"/>
      <c r="E46" s="327"/>
      <c r="F46" s="33"/>
      <c r="G46" s="328"/>
      <c r="H46" s="328"/>
      <c r="I46" s="328"/>
      <c r="J46" s="328"/>
      <c r="K46" s="328"/>
      <c r="L46" s="328"/>
      <c r="M46" s="328"/>
      <c r="N46" s="35"/>
      <c r="O46" s="247"/>
      <c r="P46" s="17"/>
      <c r="Q46" s="17"/>
      <c r="R46" s="18"/>
      <c r="S46" s="18"/>
      <c r="T46" s="10"/>
    </row>
    <row r="47" spans="2:20">
      <c r="B47" s="36"/>
      <c r="C47" s="327"/>
      <c r="D47" s="327"/>
      <c r="E47" s="327"/>
      <c r="F47" s="33"/>
      <c r="G47" s="328"/>
      <c r="H47" s="328"/>
      <c r="I47" s="328"/>
      <c r="J47" s="328"/>
      <c r="K47" s="328"/>
      <c r="L47" s="328"/>
      <c r="M47" s="328"/>
      <c r="N47" s="35"/>
      <c r="O47" s="247"/>
      <c r="P47" s="17"/>
      <c r="Q47" s="17"/>
      <c r="R47" s="18"/>
      <c r="S47" s="18"/>
      <c r="T47" s="10"/>
    </row>
    <row r="48" spans="2:20">
      <c r="B48" s="36"/>
      <c r="C48" s="327"/>
      <c r="D48" s="327"/>
      <c r="E48" s="327"/>
      <c r="F48" s="33"/>
      <c r="G48" s="328"/>
      <c r="H48" s="328"/>
      <c r="I48" s="328"/>
      <c r="J48" s="328"/>
      <c r="K48" s="328"/>
      <c r="L48" s="328"/>
      <c r="M48" s="328"/>
      <c r="N48" s="35"/>
      <c r="O48" s="247"/>
      <c r="P48" s="17"/>
      <c r="Q48" s="17"/>
      <c r="R48" s="18"/>
      <c r="S48" s="18"/>
      <c r="T48" s="10"/>
    </row>
    <row r="49" spans="2:20">
      <c r="B49" s="39" t="s">
        <v>152</v>
      </c>
      <c r="C49" s="40">
        <f>IFERROR(SUM(C37:C48)/COUNTA(C37:C48),0)</f>
        <v>0</v>
      </c>
      <c r="D49" s="248">
        <f>IFERROR(SUM(D37:D48)/COUNTA(D37:D48),0)</f>
        <v>0</v>
      </c>
      <c r="E49" s="249"/>
      <c r="F49" s="248">
        <f>IFERROR(SUM(F37:F48)/COUNTA(F37:F48),0)</f>
        <v>0</v>
      </c>
      <c r="G49" s="40">
        <f>IFERROR(SUM(G37:G48)/COUNTA(G37:G48),0)</f>
        <v>0</v>
      </c>
      <c r="H49" s="41">
        <f t="shared" ref="H49:N49" si="6">IFERROR(SUM(H37:H48)/COUNTA(H37:H48),0)</f>
        <v>0</v>
      </c>
      <c r="I49" s="41">
        <f t="shared" si="6"/>
        <v>0</v>
      </c>
      <c r="J49" s="41">
        <f t="shared" si="6"/>
        <v>0</v>
      </c>
      <c r="K49" s="40">
        <f t="shared" si="6"/>
        <v>0</v>
      </c>
      <c r="L49" s="40">
        <f t="shared" si="6"/>
        <v>0</v>
      </c>
      <c r="M49" s="40">
        <f t="shared" si="6"/>
        <v>0</v>
      </c>
      <c r="N49" s="40">
        <f t="shared" si="6"/>
        <v>0</v>
      </c>
      <c r="O49" s="248">
        <f t="shared" ref="O49" si="7">IFERROR(SUM(O37:O48)/COUNTA(O37:O48),0)</f>
        <v>0</v>
      </c>
      <c r="P49" s="17"/>
      <c r="Q49" s="17"/>
      <c r="R49" s="18"/>
      <c r="S49" s="18"/>
      <c r="T49" s="10"/>
    </row>
    <row r="50" spans="2:20" ht="13.5" customHeight="1">
      <c r="B50" s="42" t="s">
        <v>153</v>
      </c>
      <c r="C50" s="43">
        <f>SUM(C37:C48)</f>
        <v>0</v>
      </c>
      <c r="D50" s="682" t="s">
        <v>1699</v>
      </c>
      <c r="E50" s="682"/>
      <c r="F50" s="249">
        <f>IFERROR(SUM(J37:J42)/SUM(G37:G42),0)</f>
        <v>0</v>
      </c>
      <c r="G50" s="44">
        <f>SUM(G37:G48)</f>
        <v>0</v>
      </c>
      <c r="H50" s="44">
        <f>SUM(H37:H48)</f>
        <v>0</v>
      </c>
      <c r="I50" s="44">
        <f>SUM(I37:I48)</f>
        <v>0</v>
      </c>
      <c r="J50" s="44">
        <f>SUM(J37:J48)</f>
        <v>0</v>
      </c>
      <c r="K50" s="683" t="s">
        <v>154</v>
      </c>
      <c r="L50" s="683"/>
      <c r="M50" s="683"/>
      <c r="N50" s="43">
        <f>MIN(N37:N42)</f>
        <v>0</v>
      </c>
      <c r="O50" s="251">
        <f>MIN(O37:O42)</f>
        <v>0</v>
      </c>
      <c r="P50" s="17"/>
      <c r="Q50" s="17"/>
      <c r="R50" s="18"/>
      <c r="S50" s="18"/>
      <c r="T50" s="10"/>
    </row>
    <row r="51" spans="2:20" s="10" customFormat="1">
      <c r="B51" s="42" t="s">
        <v>155</v>
      </c>
      <c r="C51" s="43">
        <f>C49*12</f>
        <v>0</v>
      </c>
      <c r="D51" s="682" t="s">
        <v>1696</v>
      </c>
      <c r="E51" s="682"/>
      <c r="F51" s="255">
        <f>IFERROR(SUM(I37:I42)/SUM(H37:H42),0)</f>
        <v>0</v>
      </c>
      <c r="G51" s="682" t="s">
        <v>1695</v>
      </c>
      <c r="H51" s="682"/>
      <c r="I51" s="45" t="str">
        <f>IF(H50&lt;=0,"",I50/H50)</f>
        <v/>
      </c>
      <c r="J51" s="45" t="str">
        <f>IF(G50&lt;=0,"",J50/G50)</f>
        <v/>
      </c>
      <c r="K51" s="683" t="s">
        <v>156</v>
      </c>
      <c r="L51" s="683"/>
      <c r="M51" s="683"/>
      <c r="N51" s="43">
        <f>MAX(N37:N42)</f>
        <v>0</v>
      </c>
      <c r="O51" s="251">
        <f>MAX(O37:O42)</f>
        <v>0</v>
      </c>
      <c r="P51" s="17"/>
      <c r="Q51" s="17"/>
      <c r="R51" s="18"/>
      <c r="S51" s="18"/>
    </row>
    <row r="52" spans="2:20">
      <c r="O52" s="17"/>
      <c r="P52" s="17"/>
      <c r="Q52" s="17"/>
      <c r="R52" s="18"/>
      <c r="S52" s="18"/>
      <c r="T52" s="10"/>
    </row>
    <row r="53" spans="2:20">
      <c r="B53" s="685" t="s">
        <v>158</v>
      </c>
      <c r="C53" s="685"/>
      <c r="D53" s="686" t="s">
        <v>140</v>
      </c>
      <c r="E53" s="686"/>
      <c r="F53" s="686"/>
      <c r="G53" s="692"/>
      <c r="H53" s="692"/>
      <c r="I53" s="692"/>
      <c r="J53" s="692"/>
      <c r="K53" s="692"/>
      <c r="L53" s="688" t="s">
        <v>141</v>
      </c>
      <c r="M53" s="688"/>
      <c r="N53" s="23" t="s">
        <v>287</v>
      </c>
      <c r="O53" s="18"/>
      <c r="P53" s="17"/>
      <c r="Q53" s="17"/>
      <c r="R53" s="18"/>
      <c r="S53" s="18"/>
      <c r="T53" s="10"/>
    </row>
    <row r="54" spans="2:20" ht="15" customHeight="1">
      <c r="B54" s="24" t="s">
        <v>124</v>
      </c>
      <c r="C54" s="693"/>
      <c r="D54" s="693"/>
      <c r="E54" s="24" t="s">
        <v>125</v>
      </c>
      <c r="F54" s="694"/>
      <c r="G54" s="693"/>
      <c r="H54" s="686" t="s">
        <v>142</v>
      </c>
      <c r="I54" s="686"/>
      <c r="J54" s="692"/>
      <c r="K54" s="692"/>
      <c r="L54" s="686" t="s">
        <v>143</v>
      </c>
      <c r="M54" s="686"/>
      <c r="N54" s="25"/>
      <c r="O54" s="144"/>
      <c r="P54" s="144"/>
      <c r="Q54" s="17"/>
      <c r="R54" s="18"/>
      <c r="S54" s="18"/>
      <c r="T54" s="10"/>
    </row>
    <row r="55" spans="2:20" s="29" customFormat="1" ht="36">
      <c r="B55" s="26" t="s">
        <v>144</v>
      </c>
      <c r="C55" s="26" t="s">
        <v>145</v>
      </c>
      <c r="D55" s="26" t="s">
        <v>146</v>
      </c>
      <c r="E55" s="26" t="s">
        <v>127</v>
      </c>
      <c r="F55" s="26" t="s">
        <v>147</v>
      </c>
      <c r="G55" s="26" t="s">
        <v>148</v>
      </c>
      <c r="H55" s="26" t="s">
        <v>149</v>
      </c>
      <c r="I55" s="26" t="s">
        <v>131</v>
      </c>
      <c r="J55" s="26" t="s">
        <v>132</v>
      </c>
      <c r="K55" s="26" t="s">
        <v>1404</v>
      </c>
      <c r="L55" s="26" t="s">
        <v>150</v>
      </c>
      <c r="M55" s="26" t="s">
        <v>151</v>
      </c>
      <c r="N55" s="26" t="s">
        <v>1693</v>
      </c>
      <c r="O55" s="244" t="s">
        <v>1788</v>
      </c>
      <c r="P55" s="27"/>
      <c r="Q55" s="27"/>
      <c r="R55" s="28"/>
      <c r="S55" s="28"/>
    </row>
    <row r="56" spans="2:20" ht="12.75">
      <c r="B56" s="36"/>
      <c r="C56" s="31"/>
      <c r="D56" s="31"/>
      <c r="E56" s="32"/>
      <c r="F56" s="33"/>
      <c r="G56" s="407"/>
      <c r="H56" s="407"/>
      <c r="I56" s="407"/>
      <c r="J56" s="407"/>
      <c r="K56" s="30"/>
      <c r="L56" s="30"/>
      <c r="M56" s="30"/>
      <c r="N56" s="35"/>
      <c r="O56" s="247"/>
      <c r="P56" s="17"/>
      <c r="Q56" s="17"/>
      <c r="R56" s="18"/>
      <c r="S56" s="18"/>
      <c r="T56" s="10"/>
    </row>
    <row r="57" spans="2:20" ht="12.75">
      <c r="B57" s="36"/>
      <c r="C57" s="31"/>
      <c r="D57" s="31"/>
      <c r="E57" s="32"/>
      <c r="F57" s="33"/>
      <c r="G57" s="407"/>
      <c r="H57" s="407"/>
      <c r="I57" s="407"/>
      <c r="J57" s="407"/>
      <c r="K57" s="30"/>
      <c r="L57" s="30"/>
      <c r="M57" s="30"/>
      <c r="N57" s="35"/>
      <c r="O57" s="247"/>
      <c r="P57" s="17"/>
      <c r="Q57" s="17"/>
      <c r="R57" s="18"/>
      <c r="S57" s="18"/>
      <c r="T57" s="10"/>
    </row>
    <row r="58" spans="2:20" ht="12.75">
      <c r="B58" s="36"/>
      <c r="C58" s="31"/>
      <c r="D58" s="31"/>
      <c r="E58" s="32"/>
      <c r="F58" s="33"/>
      <c r="G58" s="407"/>
      <c r="H58" s="407"/>
      <c r="I58" s="407"/>
      <c r="J58" s="407"/>
      <c r="K58" s="30"/>
      <c r="L58" s="30"/>
      <c r="M58" s="30"/>
      <c r="N58" s="35"/>
      <c r="O58" s="247"/>
      <c r="P58" s="17"/>
      <c r="Q58" s="17"/>
      <c r="R58" s="18"/>
      <c r="S58" s="18"/>
      <c r="T58" s="10"/>
    </row>
    <row r="59" spans="2:20" ht="12.75">
      <c r="B59" s="36"/>
      <c r="C59" s="31"/>
      <c r="D59" s="31"/>
      <c r="E59" s="32"/>
      <c r="F59" s="33"/>
      <c r="G59" s="407"/>
      <c r="H59" s="407"/>
      <c r="I59" s="407"/>
      <c r="J59" s="407"/>
      <c r="K59" s="30"/>
      <c r="L59" s="30"/>
      <c r="M59" s="30"/>
      <c r="N59" s="35"/>
      <c r="O59" s="247"/>
      <c r="P59" s="17"/>
      <c r="Q59" s="17"/>
      <c r="R59" s="18"/>
      <c r="S59" s="18"/>
      <c r="T59" s="10"/>
    </row>
    <row r="60" spans="2:20" ht="12.75">
      <c r="B60" s="36"/>
      <c r="C60" s="31"/>
      <c r="D60" s="31"/>
      <c r="E60" s="32"/>
      <c r="F60" s="33"/>
      <c r="G60" s="407"/>
      <c r="H60" s="407"/>
      <c r="I60" s="407"/>
      <c r="J60" s="407"/>
      <c r="K60" s="30"/>
      <c r="L60" s="30"/>
      <c r="M60" s="30"/>
      <c r="N60" s="35"/>
      <c r="O60" s="247"/>
      <c r="P60" s="17"/>
      <c r="Q60" s="17"/>
      <c r="R60" s="18"/>
      <c r="S60" s="18"/>
      <c r="T60" s="10"/>
    </row>
    <row r="61" spans="2:20" ht="12.75">
      <c r="B61" s="36"/>
      <c r="C61" s="31"/>
      <c r="D61" s="31"/>
      <c r="E61" s="32"/>
      <c r="F61" s="33"/>
      <c r="G61" s="407"/>
      <c r="H61" s="407"/>
      <c r="I61" s="407"/>
      <c r="J61" s="407"/>
      <c r="K61" s="30"/>
      <c r="L61" s="30"/>
      <c r="M61" s="30"/>
      <c r="N61" s="35"/>
      <c r="O61" s="247"/>
      <c r="P61" s="17"/>
      <c r="Q61" s="17"/>
      <c r="R61" s="18"/>
      <c r="S61" s="18"/>
      <c r="T61" s="10"/>
    </row>
    <row r="62" spans="2:20" ht="12.75">
      <c r="B62" s="36"/>
      <c r="C62" s="31"/>
      <c r="D62" s="31"/>
      <c r="E62" s="32"/>
      <c r="F62" s="33"/>
      <c r="G62" s="407"/>
      <c r="H62" s="407"/>
      <c r="I62" s="407"/>
      <c r="J62" s="407"/>
      <c r="K62" s="38"/>
      <c r="L62" s="38"/>
      <c r="M62" s="38"/>
      <c r="N62" s="35"/>
      <c r="O62" s="247"/>
      <c r="P62" s="17"/>
      <c r="Q62" s="17"/>
      <c r="R62" s="18"/>
      <c r="S62" s="18"/>
      <c r="T62" s="10"/>
    </row>
    <row r="63" spans="2:20" ht="12.75">
      <c r="B63" s="36"/>
      <c r="C63" s="31"/>
      <c r="D63" s="31"/>
      <c r="E63" s="32"/>
      <c r="F63" s="33"/>
      <c r="G63" s="407"/>
      <c r="H63" s="407"/>
      <c r="I63" s="407"/>
      <c r="J63" s="407"/>
      <c r="K63" s="38"/>
      <c r="L63" s="38"/>
      <c r="M63" s="38"/>
      <c r="N63" s="35"/>
      <c r="O63" s="247"/>
      <c r="P63" s="17"/>
      <c r="Q63" s="17"/>
      <c r="R63" s="18"/>
      <c r="S63" s="18"/>
      <c r="T63" s="10"/>
    </row>
    <row r="64" spans="2:20">
      <c r="B64" s="36"/>
      <c r="C64" s="31"/>
      <c r="D64" s="31"/>
      <c r="E64" s="32"/>
      <c r="F64" s="33"/>
      <c r="G64" s="31"/>
      <c r="H64" s="31"/>
      <c r="I64" s="31"/>
      <c r="J64" s="31"/>
      <c r="K64" s="38"/>
      <c r="L64" s="38"/>
      <c r="M64" s="38"/>
      <c r="N64" s="35"/>
      <c r="O64" s="247"/>
      <c r="P64" s="17"/>
      <c r="Q64" s="17"/>
      <c r="R64" s="18"/>
      <c r="S64" s="18"/>
      <c r="T64" s="10"/>
    </row>
    <row r="65" spans="2:20">
      <c r="B65" s="36"/>
      <c r="C65" s="31"/>
      <c r="D65" s="31"/>
      <c r="E65" s="32"/>
      <c r="F65" s="33"/>
      <c r="G65" s="31"/>
      <c r="H65" s="31"/>
      <c r="I65" s="31"/>
      <c r="J65" s="31"/>
      <c r="K65" s="38"/>
      <c r="L65" s="38"/>
      <c r="M65" s="38"/>
      <c r="N65" s="35"/>
      <c r="O65" s="247"/>
      <c r="P65" s="17"/>
      <c r="Q65" s="17"/>
      <c r="R65" s="18"/>
      <c r="S65" s="18"/>
      <c r="T65" s="10"/>
    </row>
    <row r="66" spans="2:20">
      <c r="B66" s="36"/>
      <c r="C66" s="31"/>
      <c r="D66" s="31"/>
      <c r="E66" s="32"/>
      <c r="F66" s="33"/>
      <c r="G66" s="31"/>
      <c r="H66" s="31"/>
      <c r="I66" s="31"/>
      <c r="J66" s="31"/>
      <c r="K66" s="38"/>
      <c r="L66" s="38"/>
      <c r="M66" s="38"/>
      <c r="N66" s="35"/>
      <c r="O66" s="247"/>
      <c r="P66" s="17"/>
      <c r="Q66" s="17"/>
      <c r="R66" s="18"/>
      <c r="S66" s="18"/>
      <c r="T66" s="10"/>
    </row>
    <row r="67" spans="2:20">
      <c r="B67" s="36">
        <f t="shared" ref="B67" si="8">B48</f>
        <v>0</v>
      </c>
      <c r="C67" s="31"/>
      <c r="D67" s="31"/>
      <c r="E67" s="32"/>
      <c r="F67" s="33">
        <f t="shared" ref="F67" si="9">IF($J$54="CC/OD Account",IF(D67="",0,D67/E67),0)</f>
        <v>0</v>
      </c>
      <c r="G67" s="31"/>
      <c r="H67" s="31"/>
      <c r="I67" s="31"/>
      <c r="J67" s="31"/>
      <c r="K67" s="38"/>
      <c r="L67" s="38"/>
      <c r="M67" s="38"/>
      <c r="N67" s="35">
        <f t="shared" ref="N67" si="10">IF(SUM(K67:M67)=0,0,IF($J$54="CC/OD Account",(E67-AVERAGE(K67:M67)),AVERAGE(K67:M67)))</f>
        <v>0</v>
      </c>
      <c r="O67" s="247">
        <f t="shared" ref="O67" si="11">IF(SUM(K67:M67)=0,0,IF($J$54="CC/OD Account",(E67-AVERAGE(K67:M67)),AVERAGE(K67:M67)))</f>
        <v>0</v>
      </c>
      <c r="P67" s="17"/>
      <c r="Q67" s="17"/>
      <c r="R67" s="18"/>
      <c r="S67" s="18"/>
      <c r="T67" s="10"/>
    </row>
    <row r="68" spans="2:20">
      <c r="B68" s="39" t="s">
        <v>152</v>
      </c>
      <c r="C68" s="40">
        <f>IFERROR(SUM(C56:C67)/COUNTA(C56:C67),0)</f>
        <v>0</v>
      </c>
      <c r="D68" s="248">
        <f>IFERROR(SUM(D56:D67)/COUNTA(D56:D67),0)</f>
        <v>0</v>
      </c>
      <c r="E68" s="249"/>
      <c r="F68" s="248">
        <f>IFERROR(SUM(F56:F67)/COUNTA(F56:F67),0)</f>
        <v>0</v>
      </c>
      <c r="G68" s="40">
        <f>IFERROR(SUM(G56:G67)/COUNTA(G56:G67),0)</f>
        <v>0</v>
      </c>
      <c r="H68" s="41">
        <f t="shared" ref="H68:N68" si="12">IFERROR(SUM(H56:H67)/COUNTA(H56:H67),0)</f>
        <v>0</v>
      </c>
      <c r="I68" s="41">
        <f t="shared" si="12"/>
        <v>0</v>
      </c>
      <c r="J68" s="41">
        <f t="shared" si="12"/>
        <v>0</v>
      </c>
      <c r="K68" s="40">
        <f t="shared" si="12"/>
        <v>0</v>
      </c>
      <c r="L68" s="40">
        <f t="shared" si="12"/>
        <v>0</v>
      </c>
      <c r="M68" s="40">
        <f t="shared" si="12"/>
        <v>0</v>
      </c>
      <c r="N68" s="40">
        <f t="shared" si="12"/>
        <v>0</v>
      </c>
      <c r="O68" s="248">
        <f t="shared" ref="O68" si="13">IFERROR(SUM(O56:O67)/COUNTA(O56:O67),0)</f>
        <v>0</v>
      </c>
      <c r="P68" s="17"/>
      <c r="Q68" s="17"/>
      <c r="R68" s="18"/>
      <c r="S68" s="18"/>
      <c r="T68" s="10"/>
    </row>
    <row r="69" spans="2:20" ht="13.5" customHeight="1">
      <c r="B69" s="42" t="s">
        <v>153</v>
      </c>
      <c r="C69" s="43">
        <f>SUM(C56:C67)</f>
        <v>0</v>
      </c>
      <c r="D69" s="682" t="s">
        <v>1699</v>
      </c>
      <c r="E69" s="682"/>
      <c r="F69" s="249">
        <f>IFERROR(SUM(J56:J61)/SUM(G56:G61),0)</f>
        <v>0</v>
      </c>
      <c r="G69" s="44">
        <f>SUM(G56:G67)</f>
        <v>0</v>
      </c>
      <c r="H69" s="44">
        <f>SUM(H56:H67)</f>
        <v>0</v>
      </c>
      <c r="I69" s="44">
        <f>SUM(I56:I67)</f>
        <v>0</v>
      </c>
      <c r="J69" s="44">
        <f>SUM(J56:J67)</f>
        <v>0</v>
      </c>
      <c r="K69" s="683" t="s">
        <v>154</v>
      </c>
      <c r="L69" s="683"/>
      <c r="M69" s="683"/>
      <c r="N69" s="43">
        <f>MIN(N56:N61)</f>
        <v>0</v>
      </c>
      <c r="O69" s="251">
        <f>MIN(O56:O61)</f>
        <v>0</v>
      </c>
      <c r="P69" s="17"/>
      <c r="Q69" s="17"/>
      <c r="R69" s="18"/>
      <c r="S69" s="18"/>
      <c r="T69" s="10"/>
    </row>
    <row r="70" spans="2:20" s="10" customFormat="1">
      <c r="B70" s="42" t="s">
        <v>155</v>
      </c>
      <c r="C70" s="43">
        <f>C68*12</f>
        <v>0</v>
      </c>
      <c r="D70" s="682" t="s">
        <v>1696</v>
      </c>
      <c r="E70" s="682"/>
      <c r="F70" s="255">
        <f>IFERROR(SUM(I56:I61)/SUM(H56:H61),0)</f>
        <v>0</v>
      </c>
      <c r="G70" s="682" t="s">
        <v>1695</v>
      </c>
      <c r="H70" s="682"/>
      <c r="I70" s="45" t="str">
        <f>IF(H69&lt;=0,"",I69/H69)</f>
        <v/>
      </c>
      <c r="J70" s="45" t="str">
        <f>IF(G69&lt;=0,"",J69/G69)</f>
        <v/>
      </c>
      <c r="K70" s="683" t="s">
        <v>156</v>
      </c>
      <c r="L70" s="683"/>
      <c r="M70" s="683"/>
      <c r="N70" s="43">
        <f>MAX(N56:N61)</f>
        <v>0</v>
      </c>
      <c r="O70" s="251">
        <f>MAX(O56:O61)</f>
        <v>0</v>
      </c>
      <c r="P70" s="17"/>
      <c r="Q70" s="17"/>
      <c r="R70" s="18"/>
      <c r="S70" s="18"/>
    </row>
    <row r="71" spans="2:20">
      <c r="O71" s="17"/>
      <c r="P71" s="17"/>
      <c r="Q71" s="17"/>
      <c r="R71" s="18"/>
      <c r="S71" s="18"/>
      <c r="T71" s="10"/>
    </row>
    <row r="72" spans="2:20">
      <c r="B72" s="685" t="s">
        <v>159</v>
      </c>
      <c r="C72" s="685"/>
      <c r="D72" s="686" t="s">
        <v>140</v>
      </c>
      <c r="E72" s="686"/>
      <c r="F72" s="686"/>
      <c r="G72" s="692"/>
      <c r="H72" s="692"/>
      <c r="I72" s="692"/>
      <c r="J72" s="692"/>
      <c r="K72" s="692"/>
      <c r="L72" s="688" t="s">
        <v>141</v>
      </c>
      <c r="M72" s="688"/>
      <c r="N72" s="23" t="s">
        <v>287</v>
      </c>
      <c r="O72" s="18"/>
      <c r="P72" s="17"/>
      <c r="Q72" s="17"/>
      <c r="R72" s="18"/>
      <c r="S72" s="18"/>
      <c r="T72" s="10"/>
    </row>
    <row r="73" spans="2:20" ht="15" customHeight="1">
      <c r="B73" s="24" t="s">
        <v>124</v>
      </c>
      <c r="C73" s="693"/>
      <c r="D73" s="693"/>
      <c r="E73" s="24" t="s">
        <v>125</v>
      </c>
      <c r="F73" s="694"/>
      <c r="G73" s="693"/>
      <c r="H73" s="686" t="s">
        <v>142</v>
      </c>
      <c r="I73" s="686"/>
      <c r="J73" s="692"/>
      <c r="K73" s="692"/>
      <c r="L73" s="686" t="s">
        <v>143</v>
      </c>
      <c r="M73" s="686"/>
      <c r="N73" s="25"/>
      <c r="O73" s="144"/>
      <c r="P73" s="144"/>
      <c r="Q73" s="17"/>
      <c r="R73" s="18"/>
      <c r="S73" s="18"/>
      <c r="T73" s="10"/>
    </row>
    <row r="74" spans="2:20" s="29" customFormat="1" ht="36">
      <c r="B74" s="26" t="s">
        <v>144</v>
      </c>
      <c r="C74" s="26" t="s">
        <v>145</v>
      </c>
      <c r="D74" s="26" t="s">
        <v>146</v>
      </c>
      <c r="E74" s="26" t="s">
        <v>127</v>
      </c>
      <c r="F74" s="26" t="s">
        <v>147</v>
      </c>
      <c r="G74" s="26" t="s">
        <v>148</v>
      </c>
      <c r="H74" s="26" t="s">
        <v>149</v>
      </c>
      <c r="I74" s="26" t="s">
        <v>131</v>
      </c>
      <c r="J74" s="26" t="s">
        <v>132</v>
      </c>
      <c r="K74" s="26" t="s">
        <v>1404</v>
      </c>
      <c r="L74" s="26" t="s">
        <v>150</v>
      </c>
      <c r="M74" s="26" t="s">
        <v>151</v>
      </c>
      <c r="N74" s="26" t="s">
        <v>1693</v>
      </c>
      <c r="O74" s="244" t="s">
        <v>1788</v>
      </c>
      <c r="P74" s="27"/>
      <c r="Q74" s="27"/>
      <c r="R74" s="28"/>
      <c r="S74" s="28"/>
    </row>
    <row r="75" spans="2:20" ht="12.75">
      <c r="B75" s="36"/>
      <c r="C75" s="31"/>
      <c r="D75" s="31"/>
      <c r="E75" s="32"/>
      <c r="F75" s="33"/>
      <c r="G75" s="423"/>
      <c r="H75" s="423"/>
      <c r="I75" s="423"/>
      <c r="J75" s="423"/>
      <c r="K75" s="30"/>
      <c r="L75" s="30"/>
      <c r="M75" s="30"/>
      <c r="N75" s="35"/>
      <c r="O75" s="247"/>
      <c r="P75" s="17"/>
      <c r="Q75" s="17"/>
      <c r="R75" s="18"/>
      <c r="S75" s="18"/>
      <c r="T75" s="10"/>
    </row>
    <row r="76" spans="2:20" ht="12.75">
      <c r="B76" s="36"/>
      <c r="C76" s="31"/>
      <c r="D76" s="31"/>
      <c r="E76" s="32"/>
      <c r="F76" s="33"/>
      <c r="G76" s="423"/>
      <c r="H76" s="423"/>
      <c r="I76" s="423"/>
      <c r="J76" s="423"/>
      <c r="K76" s="30"/>
      <c r="L76" s="30"/>
      <c r="M76" s="30"/>
      <c r="N76" s="35"/>
      <c r="O76" s="247"/>
      <c r="P76" s="17"/>
      <c r="Q76" s="17"/>
      <c r="R76" s="18"/>
      <c r="S76" s="18"/>
      <c r="T76" s="10"/>
    </row>
    <row r="77" spans="2:20" ht="12.75">
      <c r="B77" s="36"/>
      <c r="C77" s="31"/>
      <c r="D77" s="31"/>
      <c r="E77" s="32"/>
      <c r="F77" s="33"/>
      <c r="G77" s="423"/>
      <c r="H77" s="423"/>
      <c r="I77" s="423"/>
      <c r="J77" s="423"/>
      <c r="K77" s="30"/>
      <c r="L77" s="30"/>
      <c r="M77" s="30"/>
      <c r="N77" s="35"/>
      <c r="O77" s="247"/>
      <c r="P77" s="17"/>
      <c r="Q77" s="17"/>
      <c r="R77" s="18"/>
      <c r="S77" s="18"/>
      <c r="T77" s="10"/>
    </row>
    <row r="78" spans="2:20" ht="12.75">
      <c r="B78" s="36"/>
      <c r="C78" s="31"/>
      <c r="D78" s="31"/>
      <c r="E78" s="32"/>
      <c r="F78" s="33"/>
      <c r="G78" s="423"/>
      <c r="H78" s="423"/>
      <c r="I78" s="423"/>
      <c r="J78" s="423"/>
      <c r="K78" s="30"/>
      <c r="L78" s="30"/>
      <c r="M78" s="30"/>
      <c r="N78" s="35"/>
      <c r="O78" s="247"/>
      <c r="P78" s="17"/>
      <c r="Q78" s="17"/>
      <c r="R78" s="18"/>
      <c r="S78" s="18"/>
      <c r="T78" s="10"/>
    </row>
    <row r="79" spans="2:20" ht="12.75">
      <c r="B79" s="36"/>
      <c r="C79" s="31"/>
      <c r="D79" s="31"/>
      <c r="E79" s="32"/>
      <c r="F79" s="33"/>
      <c r="G79" s="423"/>
      <c r="H79" s="423"/>
      <c r="I79" s="423"/>
      <c r="J79" s="423"/>
      <c r="K79" s="30"/>
      <c r="L79" s="30"/>
      <c r="M79" s="30"/>
      <c r="N79" s="35"/>
      <c r="O79" s="247"/>
      <c r="P79" s="17"/>
      <c r="Q79" s="17"/>
      <c r="R79" s="18"/>
      <c r="S79" s="18"/>
      <c r="T79" s="10"/>
    </row>
    <row r="80" spans="2:20" ht="12.75">
      <c r="B80" s="36"/>
      <c r="C80" s="31"/>
      <c r="D80" s="31"/>
      <c r="E80" s="32"/>
      <c r="F80" s="33"/>
      <c r="G80" s="423"/>
      <c r="H80" s="423"/>
      <c r="I80" s="423"/>
      <c r="J80" s="423"/>
      <c r="K80" s="30"/>
      <c r="L80" s="30"/>
      <c r="M80" s="30"/>
      <c r="N80" s="35"/>
      <c r="O80" s="247"/>
      <c r="P80" s="17"/>
      <c r="Q80" s="17"/>
      <c r="R80" s="18"/>
      <c r="S80" s="18"/>
      <c r="T80" s="10"/>
    </row>
    <row r="81" spans="2:20" ht="12.75">
      <c r="B81" s="36"/>
      <c r="C81" s="31"/>
      <c r="D81" s="31"/>
      <c r="E81" s="32"/>
      <c r="F81" s="33"/>
      <c r="G81" s="423"/>
      <c r="H81" s="423"/>
      <c r="I81" s="423"/>
      <c r="J81" s="423"/>
      <c r="K81" s="38"/>
      <c r="L81" s="38"/>
      <c r="M81" s="38"/>
      <c r="N81" s="35"/>
      <c r="O81" s="247"/>
      <c r="P81" s="17"/>
      <c r="Q81" s="17"/>
      <c r="R81" s="18"/>
      <c r="S81" s="18"/>
      <c r="T81" s="10"/>
    </row>
    <row r="82" spans="2:20" ht="12.75">
      <c r="B82" s="36"/>
      <c r="C82" s="31"/>
      <c r="D82" s="31"/>
      <c r="E82" s="32"/>
      <c r="F82" s="33"/>
      <c r="G82" s="423"/>
      <c r="H82" s="423"/>
      <c r="I82" s="423"/>
      <c r="J82" s="423"/>
      <c r="K82" s="38"/>
      <c r="L82" s="38"/>
      <c r="M82" s="38"/>
      <c r="N82" s="35"/>
      <c r="O82" s="247"/>
      <c r="P82" s="17"/>
      <c r="Q82" s="17"/>
      <c r="R82" s="18"/>
      <c r="S82" s="18"/>
      <c r="T82" s="10"/>
    </row>
    <row r="83" spans="2:20">
      <c r="B83" s="36">
        <f t="shared" ref="B83:B86" si="14">B64</f>
        <v>0</v>
      </c>
      <c r="C83" s="37"/>
      <c r="D83" s="31"/>
      <c r="E83" s="32"/>
      <c r="F83" s="33">
        <f t="shared" ref="F83:F86" si="15">IF($J$73="CC/OD Account",IF(D83="",0,D83/E83),0)</f>
        <v>0</v>
      </c>
      <c r="G83" s="30"/>
      <c r="H83" s="30"/>
      <c r="I83" s="30"/>
      <c r="J83" s="30"/>
      <c r="K83" s="38"/>
      <c r="L83" s="38"/>
      <c r="M83" s="38"/>
      <c r="N83" s="35">
        <f t="shared" ref="N83:N86" si="16">IF(SUM(K83:M83)=0,0,IF($J$73="CC/OD Account",(E83-AVERAGE(K83:M83)),AVERAGE(K83:M83)))</f>
        <v>0</v>
      </c>
      <c r="O83" s="247">
        <f t="shared" ref="O83:O86" si="17">IF(SUM(K83:M83)=0,0,IF($J$73="CC/OD Account",(E83-AVERAGE(K83:M83)),AVERAGE(K83:M83)))</f>
        <v>0</v>
      </c>
      <c r="P83" s="17"/>
      <c r="Q83" s="17"/>
      <c r="R83" s="18"/>
      <c r="S83" s="18"/>
      <c r="T83" s="10"/>
    </row>
    <row r="84" spans="2:20">
      <c r="B84" s="36">
        <f t="shared" si="14"/>
        <v>0</v>
      </c>
      <c r="C84" s="37"/>
      <c r="D84" s="31"/>
      <c r="E84" s="32"/>
      <c r="F84" s="33">
        <f t="shared" si="15"/>
        <v>0</v>
      </c>
      <c r="G84" s="30"/>
      <c r="H84" s="30"/>
      <c r="I84" s="30"/>
      <c r="J84" s="30"/>
      <c r="K84" s="38"/>
      <c r="L84" s="38"/>
      <c r="M84" s="38"/>
      <c r="N84" s="35">
        <f t="shared" si="16"/>
        <v>0</v>
      </c>
      <c r="O84" s="247">
        <f t="shared" si="17"/>
        <v>0</v>
      </c>
      <c r="P84" s="17"/>
      <c r="Q84" s="17"/>
      <c r="R84" s="18"/>
      <c r="S84" s="18"/>
      <c r="T84" s="10"/>
    </row>
    <row r="85" spans="2:20">
      <c r="B85" s="36">
        <f t="shared" si="14"/>
        <v>0</v>
      </c>
      <c r="C85" s="37"/>
      <c r="D85" s="31"/>
      <c r="E85" s="32"/>
      <c r="F85" s="33">
        <f t="shared" si="15"/>
        <v>0</v>
      </c>
      <c r="G85" s="30"/>
      <c r="H85" s="30"/>
      <c r="I85" s="30"/>
      <c r="J85" s="30"/>
      <c r="K85" s="38"/>
      <c r="L85" s="38"/>
      <c r="M85" s="38"/>
      <c r="N85" s="35">
        <f t="shared" si="16"/>
        <v>0</v>
      </c>
      <c r="O85" s="247">
        <f t="shared" si="17"/>
        <v>0</v>
      </c>
      <c r="P85" s="17"/>
      <c r="Q85" s="17"/>
      <c r="R85" s="18"/>
      <c r="S85" s="18"/>
      <c r="T85" s="10"/>
    </row>
    <row r="86" spans="2:20">
      <c r="B86" s="36">
        <f t="shared" si="14"/>
        <v>0</v>
      </c>
      <c r="C86" s="37"/>
      <c r="D86" s="31"/>
      <c r="E86" s="32"/>
      <c r="F86" s="33">
        <f t="shared" si="15"/>
        <v>0</v>
      </c>
      <c r="G86" s="30"/>
      <c r="H86" s="30"/>
      <c r="I86" s="30"/>
      <c r="J86" s="30"/>
      <c r="K86" s="38"/>
      <c r="L86" s="38"/>
      <c r="M86" s="38"/>
      <c r="N86" s="35">
        <f t="shared" si="16"/>
        <v>0</v>
      </c>
      <c r="O86" s="247">
        <f t="shared" si="17"/>
        <v>0</v>
      </c>
      <c r="P86" s="17"/>
      <c r="Q86" s="17"/>
      <c r="R86" s="18"/>
      <c r="S86" s="18"/>
      <c r="T86" s="10"/>
    </row>
    <row r="87" spans="2:20">
      <c r="B87" s="39" t="s">
        <v>152</v>
      </c>
      <c r="C87" s="40">
        <f>IFERROR(SUM(C75:C86)/COUNTA(C75:C86),0)</f>
        <v>0</v>
      </c>
      <c r="D87" s="248">
        <f>IFERROR(SUM(D75:D86)/COUNTA(D75:D86),0)</f>
        <v>0</v>
      </c>
      <c r="E87" s="249"/>
      <c r="F87" s="248">
        <f>IFERROR(SUM(F75:F86)/COUNTA(F75:F86),0)</f>
        <v>0</v>
      </c>
      <c r="G87" s="40">
        <f>IFERROR(SUM(G75:G86)/COUNTA(G75:G86),0)</f>
        <v>0</v>
      </c>
      <c r="H87" s="41">
        <f t="shared" ref="H87:N87" si="18">IFERROR(SUM(H75:H86)/COUNTA(H75:H86),0)</f>
        <v>0</v>
      </c>
      <c r="I87" s="41">
        <f t="shared" si="18"/>
        <v>0</v>
      </c>
      <c r="J87" s="41">
        <f t="shared" si="18"/>
        <v>0</v>
      </c>
      <c r="K87" s="40">
        <f t="shared" si="18"/>
        <v>0</v>
      </c>
      <c r="L87" s="40">
        <f t="shared" si="18"/>
        <v>0</v>
      </c>
      <c r="M87" s="40">
        <f t="shared" si="18"/>
        <v>0</v>
      </c>
      <c r="N87" s="40">
        <f t="shared" si="18"/>
        <v>0</v>
      </c>
      <c r="O87" s="248">
        <f t="shared" ref="O87" si="19">IFERROR(SUM(O75:O86)/COUNTA(O75:O86),0)</f>
        <v>0</v>
      </c>
      <c r="P87" s="17"/>
      <c r="Q87" s="17"/>
      <c r="R87" s="18"/>
      <c r="S87" s="18"/>
      <c r="T87" s="10"/>
    </row>
    <row r="88" spans="2:20" ht="13.5" customHeight="1">
      <c r="B88" s="42" t="s">
        <v>153</v>
      </c>
      <c r="C88" s="43">
        <f>SUM(C75:C86)</f>
        <v>0</v>
      </c>
      <c r="D88" s="682" t="s">
        <v>1699</v>
      </c>
      <c r="E88" s="682"/>
      <c r="F88" s="249">
        <f>IFERROR(SUM(J75:J80)/SUM(G75:G80),0)</f>
        <v>0</v>
      </c>
      <c r="G88" s="44">
        <f>SUM(G75:G86)</f>
        <v>0</v>
      </c>
      <c r="H88" s="44">
        <f>SUM(H75:H86)</f>
        <v>0</v>
      </c>
      <c r="I88" s="44">
        <f>SUM(I75:I86)</f>
        <v>0</v>
      </c>
      <c r="J88" s="44">
        <f>SUM(J75:J86)</f>
        <v>0</v>
      </c>
      <c r="K88" s="683" t="s">
        <v>154</v>
      </c>
      <c r="L88" s="683"/>
      <c r="M88" s="683"/>
      <c r="N88" s="43">
        <f>MIN(N75:N80)</f>
        <v>0</v>
      </c>
      <c r="O88" s="251">
        <f>MIN(O75:O80)</f>
        <v>0</v>
      </c>
      <c r="P88" s="17"/>
      <c r="Q88" s="17"/>
      <c r="R88" s="18"/>
      <c r="S88" s="18"/>
      <c r="T88" s="10"/>
    </row>
    <row r="89" spans="2:20" s="10" customFormat="1">
      <c r="B89" s="42" t="s">
        <v>155</v>
      </c>
      <c r="C89" s="43">
        <f>C87*12</f>
        <v>0</v>
      </c>
      <c r="D89" s="682" t="s">
        <v>1696</v>
      </c>
      <c r="E89" s="682"/>
      <c r="F89" s="255">
        <f>IFERROR(SUM(I75:I80)/SUM(H75:H80),0)</f>
        <v>0</v>
      </c>
      <c r="G89" s="682" t="s">
        <v>1695</v>
      </c>
      <c r="H89" s="682"/>
      <c r="I89" s="45" t="str">
        <f>IF(H88&lt;=0,"",I88/H88)</f>
        <v/>
      </c>
      <c r="J89" s="45" t="str">
        <f>IF(G88&lt;=0,"",J88/G88)</f>
        <v/>
      </c>
      <c r="K89" s="683" t="s">
        <v>156</v>
      </c>
      <c r="L89" s="683"/>
      <c r="M89" s="683"/>
      <c r="N89" s="43">
        <f>MAX(N75:N80)</f>
        <v>0</v>
      </c>
      <c r="O89" s="251">
        <f>MAX(O75:O80)</f>
        <v>0</v>
      </c>
      <c r="P89" s="17"/>
      <c r="Q89" s="17"/>
      <c r="R89" s="18"/>
      <c r="S89" s="18"/>
    </row>
    <row r="90" spans="2:20">
      <c r="O90" s="17"/>
      <c r="P90" s="17"/>
      <c r="Q90" s="17"/>
      <c r="R90" s="18"/>
      <c r="S90" s="18"/>
      <c r="T90" s="10"/>
    </row>
    <row r="91" spans="2:20">
      <c r="B91" s="685" t="s">
        <v>160</v>
      </c>
      <c r="C91" s="685"/>
      <c r="D91" s="686" t="s">
        <v>140</v>
      </c>
      <c r="E91" s="686"/>
      <c r="F91" s="686"/>
      <c r="G91" s="692"/>
      <c r="H91" s="692"/>
      <c r="I91" s="692"/>
      <c r="J91" s="692"/>
      <c r="K91" s="692"/>
      <c r="L91" s="688" t="s">
        <v>141</v>
      </c>
      <c r="M91" s="688"/>
      <c r="N91" s="23" t="s">
        <v>287</v>
      </c>
      <c r="O91" s="18"/>
      <c r="P91" s="17"/>
      <c r="Q91" s="17"/>
      <c r="R91" s="18"/>
      <c r="S91" s="18"/>
      <c r="T91" s="10"/>
    </row>
    <row r="92" spans="2:20" ht="15" customHeight="1">
      <c r="B92" s="24" t="s">
        <v>124</v>
      </c>
      <c r="C92" s="693"/>
      <c r="D92" s="693"/>
      <c r="E92" s="24" t="s">
        <v>125</v>
      </c>
      <c r="F92" s="694"/>
      <c r="G92" s="693"/>
      <c r="H92" s="686" t="s">
        <v>142</v>
      </c>
      <c r="I92" s="686"/>
      <c r="J92" s="692"/>
      <c r="K92" s="692"/>
      <c r="L92" s="686" t="s">
        <v>143</v>
      </c>
      <c r="M92" s="686"/>
      <c r="N92" s="25"/>
      <c r="O92" s="144"/>
      <c r="P92" s="144"/>
      <c r="Q92" s="17"/>
      <c r="R92" s="18"/>
      <c r="S92" s="18"/>
      <c r="T92" s="10"/>
    </row>
    <row r="93" spans="2:20" s="29" customFormat="1" ht="36">
      <c r="B93" s="26" t="s">
        <v>144</v>
      </c>
      <c r="C93" s="26" t="s">
        <v>145</v>
      </c>
      <c r="D93" s="26" t="s">
        <v>146</v>
      </c>
      <c r="E93" s="26" t="s">
        <v>127</v>
      </c>
      <c r="F93" s="26" t="s">
        <v>147</v>
      </c>
      <c r="G93" s="26" t="s">
        <v>148</v>
      </c>
      <c r="H93" s="26" t="s">
        <v>149</v>
      </c>
      <c r="I93" s="26" t="s">
        <v>131</v>
      </c>
      <c r="J93" s="26" t="s">
        <v>132</v>
      </c>
      <c r="K93" s="26" t="s">
        <v>1404</v>
      </c>
      <c r="L93" s="26" t="s">
        <v>150</v>
      </c>
      <c r="M93" s="26" t="s">
        <v>151</v>
      </c>
      <c r="N93" s="26" t="s">
        <v>1693</v>
      </c>
      <c r="O93" s="244" t="s">
        <v>1788</v>
      </c>
      <c r="P93" s="27"/>
      <c r="Q93" s="27"/>
      <c r="R93" s="28"/>
      <c r="S93" s="28"/>
    </row>
    <row r="94" spans="2:20" ht="12.75">
      <c r="B94" s="36"/>
      <c r="C94" s="31"/>
      <c r="D94" s="31"/>
      <c r="E94" s="32"/>
      <c r="F94" s="33"/>
      <c r="G94" s="423"/>
      <c r="H94" s="423"/>
      <c r="I94" s="423"/>
      <c r="J94" s="423"/>
      <c r="K94" s="30"/>
      <c r="L94" s="30"/>
      <c r="M94" s="30"/>
      <c r="N94" s="35"/>
      <c r="O94" s="247"/>
      <c r="P94" s="17"/>
      <c r="Q94" s="17"/>
      <c r="R94" s="18"/>
      <c r="S94" s="18"/>
      <c r="T94" s="10"/>
    </row>
    <row r="95" spans="2:20" ht="12.75">
      <c r="B95" s="36"/>
      <c r="C95" s="31"/>
      <c r="D95" s="31"/>
      <c r="E95" s="32"/>
      <c r="F95" s="33"/>
      <c r="G95" s="423"/>
      <c r="H95" s="423"/>
      <c r="I95" s="423"/>
      <c r="J95" s="423"/>
      <c r="K95" s="30"/>
      <c r="L95" s="30"/>
      <c r="M95" s="30"/>
      <c r="N95" s="35"/>
      <c r="O95" s="247"/>
      <c r="P95" s="17"/>
      <c r="Q95" s="17"/>
      <c r="R95" s="18"/>
      <c r="S95" s="18"/>
      <c r="T95" s="10"/>
    </row>
    <row r="96" spans="2:20" ht="12.75">
      <c r="B96" s="36"/>
      <c r="C96" s="31"/>
      <c r="D96" s="31"/>
      <c r="E96" s="32"/>
      <c r="F96" s="33"/>
      <c r="G96" s="423"/>
      <c r="H96" s="423"/>
      <c r="I96" s="423"/>
      <c r="J96" s="423"/>
      <c r="K96" s="30"/>
      <c r="L96" s="30"/>
      <c r="M96" s="30"/>
      <c r="N96" s="35"/>
      <c r="O96" s="247"/>
      <c r="P96" s="17"/>
      <c r="Q96" s="17"/>
      <c r="R96" s="18"/>
      <c r="S96" s="18"/>
      <c r="T96" s="10"/>
    </row>
    <row r="97" spans="2:20" ht="12.75">
      <c r="B97" s="36"/>
      <c r="C97" s="31"/>
      <c r="D97" s="31"/>
      <c r="E97" s="32"/>
      <c r="F97" s="33"/>
      <c r="G97" s="423"/>
      <c r="H97" s="423"/>
      <c r="I97" s="423"/>
      <c r="J97" s="423"/>
      <c r="K97" s="30"/>
      <c r="L97" s="30"/>
      <c r="M97" s="30"/>
      <c r="N97" s="35"/>
      <c r="O97" s="247"/>
      <c r="P97" s="17"/>
      <c r="Q97" s="17"/>
      <c r="R97" s="18"/>
      <c r="S97" s="18"/>
      <c r="T97" s="10"/>
    </row>
    <row r="98" spans="2:20" ht="12.75">
      <c r="B98" s="36"/>
      <c r="C98" s="439"/>
      <c r="D98" s="31"/>
      <c r="E98" s="32"/>
      <c r="F98" s="33"/>
      <c r="G98" s="423"/>
      <c r="H98" s="423"/>
      <c r="I98" s="423"/>
      <c r="J98" s="423"/>
      <c r="K98" s="30"/>
      <c r="L98" s="30"/>
      <c r="M98" s="30"/>
      <c r="N98" s="35"/>
      <c r="O98" s="247"/>
      <c r="P98" s="17"/>
      <c r="Q98" s="17"/>
      <c r="R98" s="18"/>
      <c r="S98" s="18"/>
      <c r="T98" s="10"/>
    </row>
    <row r="99" spans="2:20" ht="12.75">
      <c r="B99" s="36"/>
      <c r="C99" s="31"/>
      <c r="D99" s="31"/>
      <c r="E99" s="32"/>
      <c r="F99" s="33"/>
      <c r="G99" s="423"/>
      <c r="H99" s="423"/>
      <c r="I99" s="423"/>
      <c r="J99" s="423"/>
      <c r="K99" s="30"/>
      <c r="L99" s="30"/>
      <c r="M99" s="30"/>
      <c r="N99" s="35"/>
      <c r="O99" s="247"/>
      <c r="P99" s="17"/>
      <c r="Q99" s="17"/>
      <c r="R99" s="18"/>
      <c r="S99" s="18"/>
      <c r="T99" s="10"/>
    </row>
    <row r="100" spans="2:20" ht="12.75">
      <c r="B100" s="36"/>
      <c r="C100" s="31"/>
      <c r="D100" s="31"/>
      <c r="E100" s="32"/>
      <c r="F100" s="33"/>
      <c r="G100" s="423"/>
      <c r="H100" s="423"/>
      <c r="I100" s="423"/>
      <c r="J100" s="423"/>
      <c r="K100" s="38"/>
      <c r="L100" s="38"/>
      <c r="M100" s="38"/>
      <c r="N100" s="35"/>
      <c r="O100" s="247"/>
      <c r="P100" s="17"/>
      <c r="Q100" s="17"/>
      <c r="R100" s="18"/>
      <c r="S100" s="18"/>
      <c r="T100" s="10"/>
    </row>
    <row r="101" spans="2:20" ht="12.75">
      <c r="B101" s="36"/>
      <c r="C101" s="31"/>
      <c r="D101" s="31"/>
      <c r="E101" s="32"/>
      <c r="F101" s="33"/>
      <c r="G101" s="423"/>
      <c r="H101" s="423"/>
      <c r="I101" s="423"/>
      <c r="J101" s="423"/>
      <c r="K101" s="38"/>
      <c r="L101" s="38"/>
      <c r="M101" s="38"/>
      <c r="N101" s="35"/>
      <c r="O101" s="247"/>
      <c r="P101" s="17"/>
      <c r="Q101" s="17"/>
      <c r="R101" s="18"/>
      <c r="S101" s="18"/>
      <c r="T101" s="10"/>
    </row>
    <row r="102" spans="2:20">
      <c r="B102" s="36"/>
      <c r="C102" s="37"/>
      <c r="D102" s="31"/>
      <c r="E102" s="32"/>
      <c r="F102" s="33"/>
      <c r="G102" s="30"/>
      <c r="H102" s="30"/>
      <c r="I102" s="30"/>
      <c r="J102" s="30"/>
      <c r="K102" s="38"/>
      <c r="L102" s="38"/>
      <c r="M102" s="38"/>
      <c r="N102" s="35"/>
      <c r="O102" s="247"/>
      <c r="P102" s="17"/>
      <c r="Q102" s="17"/>
      <c r="R102" s="18"/>
      <c r="S102" s="18"/>
      <c r="T102" s="10"/>
    </row>
    <row r="103" spans="2:20">
      <c r="B103" s="36">
        <f t="shared" ref="B103:B105" si="20">B84</f>
        <v>0</v>
      </c>
      <c r="C103" s="37"/>
      <c r="D103" s="31"/>
      <c r="E103" s="32"/>
      <c r="F103" s="33">
        <f t="shared" ref="F103:F105" si="21">IF($J$92="CC/OD Account",IF(D103="",0,D103/E103),0)</f>
        <v>0</v>
      </c>
      <c r="G103" s="30"/>
      <c r="H103" s="30"/>
      <c r="I103" s="30"/>
      <c r="J103" s="30"/>
      <c r="K103" s="38"/>
      <c r="L103" s="38"/>
      <c r="M103" s="38"/>
      <c r="N103" s="35">
        <f t="shared" ref="N103:N105" si="22">IF(SUM(K103:M103)=0,0,IF($J$92="CC/OD Account",(E103-AVERAGE(K103:M103)),AVERAGE(K103:M103)))</f>
        <v>0</v>
      </c>
      <c r="O103" s="247">
        <f t="shared" ref="O103:O105" si="23">IF(SUM(K103:M103)=0,0,IF($J$92="CC/OD Account",(E103-AVERAGE(K103:M103)),AVERAGE(K103:M103)))</f>
        <v>0</v>
      </c>
      <c r="P103" s="17"/>
      <c r="Q103" s="17"/>
      <c r="R103" s="18"/>
      <c r="S103" s="18"/>
      <c r="T103" s="10"/>
    </row>
    <row r="104" spans="2:20">
      <c r="B104" s="36">
        <f t="shared" si="20"/>
        <v>0</v>
      </c>
      <c r="C104" s="37"/>
      <c r="D104" s="31"/>
      <c r="E104" s="32"/>
      <c r="F104" s="33">
        <f t="shared" si="21"/>
        <v>0</v>
      </c>
      <c r="G104" s="30"/>
      <c r="H104" s="30"/>
      <c r="I104" s="30"/>
      <c r="J104" s="30"/>
      <c r="K104" s="38"/>
      <c r="L104" s="38"/>
      <c r="M104" s="38"/>
      <c r="N104" s="35">
        <f t="shared" si="22"/>
        <v>0</v>
      </c>
      <c r="O104" s="247">
        <f t="shared" si="23"/>
        <v>0</v>
      </c>
      <c r="P104" s="17"/>
      <c r="Q104" s="17"/>
      <c r="R104" s="18"/>
      <c r="S104" s="18"/>
      <c r="T104" s="10"/>
    </row>
    <row r="105" spans="2:20">
      <c r="B105" s="36">
        <f t="shared" si="20"/>
        <v>0</v>
      </c>
      <c r="C105" s="37"/>
      <c r="D105" s="31"/>
      <c r="E105" s="32"/>
      <c r="F105" s="33">
        <f t="shared" si="21"/>
        <v>0</v>
      </c>
      <c r="G105" s="30"/>
      <c r="H105" s="30"/>
      <c r="I105" s="30"/>
      <c r="J105" s="30"/>
      <c r="K105" s="38"/>
      <c r="L105" s="38"/>
      <c r="M105" s="38"/>
      <c r="N105" s="35">
        <f t="shared" si="22"/>
        <v>0</v>
      </c>
      <c r="O105" s="247">
        <f t="shared" si="23"/>
        <v>0</v>
      </c>
      <c r="P105" s="17"/>
      <c r="Q105" s="17"/>
      <c r="R105" s="18"/>
      <c r="S105" s="18"/>
      <c r="T105" s="10"/>
    </row>
    <row r="106" spans="2:20">
      <c r="B106" s="39" t="s">
        <v>152</v>
      </c>
      <c r="C106" s="40">
        <f>IFERROR(SUM(C94:C105)/COUNTA(C94:C105),0)</f>
        <v>0</v>
      </c>
      <c r="D106" s="248">
        <f>IFERROR(SUM(D94:D105)/COUNTA(D94:D105),0)</f>
        <v>0</v>
      </c>
      <c r="E106" s="249"/>
      <c r="F106" s="248">
        <f>IFERROR(SUM(F94:F105)/COUNTA(F94:F105),0)</f>
        <v>0</v>
      </c>
      <c r="G106" s="40">
        <f>IFERROR(SUM(G94:G105)/COUNTA(G94:G105),0)</f>
        <v>0</v>
      </c>
      <c r="H106" s="41">
        <f t="shared" ref="H106:N106" si="24">IFERROR(SUM(H94:H105)/COUNTA(H94:H105),0)</f>
        <v>0</v>
      </c>
      <c r="I106" s="41">
        <f t="shared" si="24"/>
        <v>0</v>
      </c>
      <c r="J106" s="41">
        <f t="shared" si="24"/>
        <v>0</v>
      </c>
      <c r="K106" s="40">
        <f t="shared" si="24"/>
        <v>0</v>
      </c>
      <c r="L106" s="40">
        <f t="shared" si="24"/>
        <v>0</v>
      </c>
      <c r="M106" s="40">
        <f t="shared" si="24"/>
        <v>0</v>
      </c>
      <c r="N106" s="40">
        <f t="shared" si="24"/>
        <v>0</v>
      </c>
      <c r="O106" s="248">
        <f t="shared" ref="O106" si="25">IFERROR(SUM(O94:O105)/COUNTA(O94:O105),0)</f>
        <v>0</v>
      </c>
      <c r="P106" s="17"/>
      <c r="Q106" s="17"/>
      <c r="R106" s="18"/>
      <c r="S106" s="18"/>
      <c r="T106" s="10"/>
    </row>
    <row r="107" spans="2:20" ht="13.5" customHeight="1">
      <c r="B107" s="42" t="s">
        <v>153</v>
      </c>
      <c r="C107" s="43">
        <f>SUM(C94:C105)</f>
        <v>0</v>
      </c>
      <c r="D107" s="682" t="s">
        <v>1699</v>
      </c>
      <c r="E107" s="682"/>
      <c r="F107" s="249">
        <f>IFERROR(SUM(J94:J99)/SUM(G94:G99),0)</f>
        <v>0</v>
      </c>
      <c r="G107" s="44">
        <f>SUM(G94:G105)</f>
        <v>0</v>
      </c>
      <c r="H107" s="44">
        <f>SUM(H94:H105)</f>
        <v>0</v>
      </c>
      <c r="I107" s="44">
        <f>SUM(I94:I105)</f>
        <v>0</v>
      </c>
      <c r="J107" s="44">
        <f>SUM(J94:J105)</f>
        <v>0</v>
      </c>
      <c r="K107" s="683" t="s">
        <v>154</v>
      </c>
      <c r="L107" s="683"/>
      <c r="M107" s="683"/>
      <c r="N107" s="43">
        <f>MIN(N94:N99)</f>
        <v>0</v>
      </c>
      <c r="O107" s="251">
        <f>MIN(O94:O99)</f>
        <v>0</v>
      </c>
      <c r="P107" s="17"/>
      <c r="Q107" s="17"/>
      <c r="R107" s="18"/>
      <c r="S107" s="18"/>
      <c r="T107" s="10"/>
    </row>
    <row r="108" spans="2:20" s="10" customFormat="1">
      <c r="B108" s="42" t="s">
        <v>155</v>
      </c>
      <c r="C108" s="43">
        <f>C106*12</f>
        <v>0</v>
      </c>
      <c r="D108" s="682" t="s">
        <v>1696</v>
      </c>
      <c r="E108" s="682"/>
      <c r="F108" s="255">
        <f>IFERROR(SUM(I94:I99)/SUM(H94:H99),0)</f>
        <v>0</v>
      </c>
      <c r="G108" s="682" t="s">
        <v>1695</v>
      </c>
      <c r="H108" s="682"/>
      <c r="I108" s="45" t="str">
        <f>IF(H107&lt;=0,"",I107/H107)</f>
        <v/>
      </c>
      <c r="J108" s="45" t="str">
        <f>IF(G107&lt;=0,"",J107/G107)</f>
        <v/>
      </c>
      <c r="K108" s="683" t="s">
        <v>156</v>
      </c>
      <c r="L108" s="683"/>
      <c r="M108" s="683"/>
      <c r="N108" s="43">
        <f>MAX(N94:N99)</f>
        <v>0</v>
      </c>
      <c r="O108" s="251">
        <f>MAX(O94:O99)</f>
        <v>0</v>
      </c>
      <c r="P108" s="17"/>
      <c r="Q108" s="17"/>
      <c r="R108" s="18"/>
      <c r="S108" s="18"/>
    </row>
    <row r="109" spans="2:20">
      <c r="O109" s="17"/>
      <c r="P109" s="17"/>
      <c r="Q109" s="17"/>
      <c r="R109" s="18"/>
      <c r="S109" s="18"/>
      <c r="T109" s="10"/>
    </row>
    <row r="110" spans="2:20">
      <c r="B110" s="685" t="s">
        <v>161</v>
      </c>
      <c r="C110" s="685"/>
      <c r="D110" s="686" t="s">
        <v>140</v>
      </c>
      <c r="E110" s="686"/>
      <c r="F110" s="686"/>
      <c r="G110" s="692"/>
      <c r="H110" s="692"/>
      <c r="I110" s="692"/>
      <c r="J110" s="692"/>
      <c r="K110" s="692"/>
      <c r="L110" s="688" t="s">
        <v>141</v>
      </c>
      <c r="M110" s="688"/>
      <c r="N110" s="23"/>
      <c r="O110" s="18"/>
      <c r="P110" s="17"/>
      <c r="Q110" s="17"/>
      <c r="R110" s="18"/>
      <c r="S110" s="18"/>
      <c r="T110" s="10"/>
    </row>
    <row r="111" spans="2:20" ht="15" customHeight="1">
      <c r="B111" s="24" t="s">
        <v>124</v>
      </c>
      <c r="C111" s="693"/>
      <c r="D111" s="693"/>
      <c r="E111" s="24" t="s">
        <v>125</v>
      </c>
      <c r="F111" s="694"/>
      <c r="G111" s="693"/>
      <c r="H111" s="686" t="s">
        <v>142</v>
      </c>
      <c r="I111" s="686"/>
      <c r="J111" s="692"/>
      <c r="K111" s="692"/>
      <c r="L111" s="686" t="s">
        <v>143</v>
      </c>
      <c r="M111" s="686"/>
      <c r="N111" s="25"/>
      <c r="O111" s="144"/>
      <c r="P111" s="144"/>
      <c r="Q111" s="17"/>
      <c r="R111" s="18"/>
      <c r="S111" s="18"/>
      <c r="T111" s="10"/>
    </row>
    <row r="112" spans="2:20" s="29" customFormat="1" ht="36">
      <c r="B112" s="26" t="s">
        <v>144</v>
      </c>
      <c r="C112" s="26" t="s">
        <v>145</v>
      </c>
      <c r="D112" s="26" t="s">
        <v>146</v>
      </c>
      <c r="E112" s="26" t="s">
        <v>127</v>
      </c>
      <c r="F112" s="26" t="s">
        <v>147</v>
      </c>
      <c r="G112" s="26" t="s">
        <v>148</v>
      </c>
      <c r="H112" s="26" t="s">
        <v>149</v>
      </c>
      <c r="I112" s="26" t="s">
        <v>131</v>
      </c>
      <c r="J112" s="26" t="s">
        <v>132</v>
      </c>
      <c r="K112" s="26" t="s">
        <v>1404</v>
      </c>
      <c r="L112" s="26" t="s">
        <v>150</v>
      </c>
      <c r="M112" s="26" t="s">
        <v>151</v>
      </c>
      <c r="N112" s="26" t="s">
        <v>1693</v>
      </c>
      <c r="O112" s="244" t="s">
        <v>1788</v>
      </c>
      <c r="P112" s="27"/>
      <c r="Q112" s="27"/>
      <c r="R112" s="28"/>
      <c r="S112" s="28"/>
    </row>
    <row r="113" spans="2:20">
      <c r="B113" s="36">
        <f>B94</f>
        <v>0</v>
      </c>
      <c r="C113" s="30"/>
      <c r="D113" s="31"/>
      <c r="E113" s="32"/>
      <c r="F113" s="33">
        <f>IF($J$111="CC/OD Account",IF(D113="",0,D113/E113),0)</f>
        <v>0</v>
      </c>
      <c r="G113" s="34"/>
      <c r="H113" s="34"/>
      <c r="I113" s="34"/>
      <c r="J113" s="34"/>
      <c r="K113" s="30"/>
      <c r="L113" s="30"/>
      <c r="M113" s="30"/>
      <c r="N113" s="35">
        <f>IF(SUM(K113:M113)=0,0,IF($J$111="CC/OD Account",(E113-AVERAGE(K113:M113)),AVERAGE(K113:M113)))</f>
        <v>0</v>
      </c>
      <c r="O113" s="247">
        <f>IF(SUM(K113:M113)=0,0,IF($J$111="CC/OD Account",(E113-AVERAGE(K113:M113)),AVERAGE(K113:M113)))</f>
        <v>0</v>
      </c>
      <c r="P113" s="17"/>
      <c r="Q113" s="17"/>
      <c r="R113" s="18"/>
      <c r="S113" s="18"/>
      <c r="T113" s="10"/>
    </row>
    <row r="114" spans="2:20">
      <c r="B114" s="36">
        <f t="shared" ref="B114:B124" si="26">B95</f>
        <v>0</v>
      </c>
      <c r="C114" s="30"/>
      <c r="D114" s="31"/>
      <c r="E114" s="32"/>
      <c r="F114" s="33">
        <f t="shared" ref="F114:F124" si="27">IF($J$111="CC/OD Account",IF(D114="",0,D114/E114),0)</f>
        <v>0</v>
      </c>
      <c r="G114" s="34"/>
      <c r="H114" s="34"/>
      <c r="I114" s="34"/>
      <c r="J114" s="34"/>
      <c r="K114" s="30"/>
      <c r="L114" s="30"/>
      <c r="M114" s="30"/>
      <c r="N114" s="35">
        <f t="shared" ref="N114:N124" si="28">IF(SUM(K114:M114)=0,0,IF($J$111="CC/OD Account",(E114-AVERAGE(K114:M114)),AVERAGE(K114:M114)))</f>
        <v>0</v>
      </c>
      <c r="O114" s="247">
        <f t="shared" ref="O114:O124" si="29">IF(SUM(K114:M114)=0,0,IF($J$111="CC/OD Account",(E114-AVERAGE(K114:M114)),AVERAGE(K114:M114)))</f>
        <v>0</v>
      </c>
      <c r="P114" s="17"/>
      <c r="Q114" s="17"/>
      <c r="R114" s="18"/>
      <c r="S114" s="18"/>
      <c r="T114" s="10"/>
    </row>
    <row r="115" spans="2:20">
      <c r="B115" s="36">
        <f t="shared" si="26"/>
        <v>0</v>
      </c>
      <c r="C115" s="30"/>
      <c r="D115" s="31"/>
      <c r="E115" s="32"/>
      <c r="F115" s="33">
        <f t="shared" si="27"/>
        <v>0</v>
      </c>
      <c r="G115" s="34"/>
      <c r="H115" s="34"/>
      <c r="I115" s="34"/>
      <c r="J115" s="34"/>
      <c r="K115" s="30"/>
      <c r="L115" s="30"/>
      <c r="M115" s="30"/>
      <c r="N115" s="35">
        <f t="shared" si="28"/>
        <v>0</v>
      </c>
      <c r="O115" s="247">
        <f t="shared" si="29"/>
        <v>0</v>
      </c>
      <c r="P115" s="17"/>
      <c r="Q115" s="17"/>
      <c r="R115" s="18"/>
      <c r="S115" s="18"/>
      <c r="T115" s="10"/>
    </row>
    <row r="116" spans="2:20">
      <c r="B116" s="36">
        <f t="shared" si="26"/>
        <v>0</v>
      </c>
      <c r="C116" s="30"/>
      <c r="D116" s="31"/>
      <c r="E116" s="32"/>
      <c r="F116" s="33">
        <f t="shared" si="27"/>
        <v>0</v>
      </c>
      <c r="G116" s="34"/>
      <c r="H116" s="34"/>
      <c r="I116" s="34"/>
      <c r="J116" s="34"/>
      <c r="K116" s="30"/>
      <c r="L116" s="30"/>
      <c r="M116" s="30"/>
      <c r="N116" s="35">
        <f t="shared" si="28"/>
        <v>0</v>
      </c>
      <c r="O116" s="247">
        <f t="shared" si="29"/>
        <v>0</v>
      </c>
      <c r="P116" s="17"/>
      <c r="Q116" s="17"/>
      <c r="R116" s="18"/>
      <c r="S116" s="18"/>
      <c r="T116" s="10"/>
    </row>
    <row r="117" spans="2:20">
      <c r="B117" s="36">
        <f t="shared" si="26"/>
        <v>0</v>
      </c>
      <c r="C117" s="30"/>
      <c r="D117" s="31"/>
      <c r="E117" s="32"/>
      <c r="F117" s="33">
        <f t="shared" si="27"/>
        <v>0</v>
      </c>
      <c r="G117" s="34"/>
      <c r="H117" s="34"/>
      <c r="I117" s="34"/>
      <c r="J117" s="34"/>
      <c r="K117" s="30"/>
      <c r="L117" s="30"/>
      <c r="M117" s="30"/>
      <c r="N117" s="35">
        <f t="shared" si="28"/>
        <v>0</v>
      </c>
      <c r="O117" s="247">
        <f t="shared" si="29"/>
        <v>0</v>
      </c>
      <c r="P117" s="17"/>
      <c r="Q117" s="17"/>
      <c r="R117" s="18"/>
      <c r="S117" s="18"/>
      <c r="T117" s="10"/>
    </row>
    <row r="118" spans="2:20">
      <c r="B118" s="36">
        <f t="shared" si="26"/>
        <v>0</v>
      </c>
      <c r="C118" s="30"/>
      <c r="D118" s="31"/>
      <c r="E118" s="32"/>
      <c r="F118" s="33">
        <f t="shared" si="27"/>
        <v>0</v>
      </c>
      <c r="G118" s="34"/>
      <c r="H118" s="34"/>
      <c r="I118" s="34"/>
      <c r="J118" s="34"/>
      <c r="K118" s="30"/>
      <c r="L118" s="30"/>
      <c r="M118" s="30"/>
      <c r="N118" s="35">
        <f t="shared" si="28"/>
        <v>0</v>
      </c>
      <c r="O118" s="247">
        <f t="shared" si="29"/>
        <v>0</v>
      </c>
      <c r="P118" s="17"/>
      <c r="Q118" s="17"/>
      <c r="R118" s="18"/>
      <c r="S118" s="18"/>
      <c r="T118" s="10"/>
    </row>
    <row r="119" spans="2:20">
      <c r="B119" s="36">
        <f t="shared" si="26"/>
        <v>0</v>
      </c>
      <c r="C119" s="37"/>
      <c r="D119" s="31"/>
      <c r="E119" s="32"/>
      <c r="F119" s="33">
        <f t="shared" si="27"/>
        <v>0</v>
      </c>
      <c r="G119" s="32"/>
      <c r="H119" s="32"/>
      <c r="I119" s="32"/>
      <c r="J119" s="32"/>
      <c r="K119" s="38"/>
      <c r="L119" s="38"/>
      <c r="M119" s="38"/>
      <c r="N119" s="35">
        <f t="shared" si="28"/>
        <v>0</v>
      </c>
      <c r="O119" s="247">
        <f t="shared" si="29"/>
        <v>0</v>
      </c>
      <c r="P119" s="17"/>
      <c r="Q119" s="17"/>
      <c r="R119" s="18"/>
      <c r="S119" s="18"/>
      <c r="T119" s="10"/>
    </row>
    <row r="120" spans="2:20">
      <c r="B120" s="36">
        <f t="shared" si="26"/>
        <v>0</v>
      </c>
      <c r="C120" s="37"/>
      <c r="D120" s="31"/>
      <c r="E120" s="32"/>
      <c r="F120" s="33">
        <f t="shared" si="27"/>
        <v>0</v>
      </c>
      <c r="G120" s="32"/>
      <c r="H120" s="32"/>
      <c r="I120" s="32"/>
      <c r="J120" s="32"/>
      <c r="K120" s="38"/>
      <c r="L120" s="38"/>
      <c r="M120" s="38"/>
      <c r="N120" s="35">
        <f t="shared" si="28"/>
        <v>0</v>
      </c>
      <c r="O120" s="247">
        <f t="shared" si="29"/>
        <v>0</v>
      </c>
      <c r="P120" s="17"/>
      <c r="Q120" s="17"/>
      <c r="R120" s="18"/>
      <c r="S120" s="18"/>
      <c r="T120" s="10"/>
    </row>
    <row r="121" spans="2:20">
      <c r="B121" s="36">
        <f t="shared" si="26"/>
        <v>0</v>
      </c>
      <c r="C121" s="37"/>
      <c r="D121" s="31"/>
      <c r="E121" s="32"/>
      <c r="F121" s="33">
        <f t="shared" si="27"/>
        <v>0</v>
      </c>
      <c r="G121" s="32"/>
      <c r="H121" s="32"/>
      <c r="I121" s="32"/>
      <c r="J121" s="32"/>
      <c r="K121" s="38"/>
      <c r="L121" s="38"/>
      <c r="M121" s="38"/>
      <c r="N121" s="35">
        <f t="shared" si="28"/>
        <v>0</v>
      </c>
      <c r="O121" s="247">
        <f t="shared" si="29"/>
        <v>0</v>
      </c>
      <c r="P121" s="17"/>
      <c r="Q121" s="17"/>
      <c r="R121" s="18"/>
      <c r="S121" s="18"/>
      <c r="T121" s="10"/>
    </row>
    <row r="122" spans="2:20">
      <c r="B122" s="36">
        <f t="shared" si="26"/>
        <v>0</v>
      </c>
      <c r="C122" s="37"/>
      <c r="D122" s="31"/>
      <c r="E122" s="32"/>
      <c r="F122" s="33">
        <f t="shared" si="27"/>
        <v>0</v>
      </c>
      <c r="G122" s="32"/>
      <c r="H122" s="32"/>
      <c r="I122" s="32"/>
      <c r="J122" s="32"/>
      <c r="K122" s="38"/>
      <c r="L122" s="38"/>
      <c r="M122" s="38"/>
      <c r="N122" s="35">
        <f t="shared" si="28"/>
        <v>0</v>
      </c>
      <c r="O122" s="247">
        <f t="shared" si="29"/>
        <v>0</v>
      </c>
      <c r="P122" s="17"/>
      <c r="Q122" s="17"/>
      <c r="R122" s="18"/>
      <c r="S122" s="18"/>
      <c r="T122" s="10"/>
    </row>
    <row r="123" spans="2:20">
      <c r="B123" s="36">
        <f t="shared" si="26"/>
        <v>0</v>
      </c>
      <c r="C123" s="37"/>
      <c r="D123" s="31"/>
      <c r="E123" s="32"/>
      <c r="F123" s="33">
        <f t="shared" si="27"/>
        <v>0</v>
      </c>
      <c r="G123" s="32"/>
      <c r="H123" s="32"/>
      <c r="I123" s="32"/>
      <c r="J123" s="32"/>
      <c r="K123" s="38"/>
      <c r="L123" s="38"/>
      <c r="M123" s="38"/>
      <c r="N123" s="35">
        <f t="shared" si="28"/>
        <v>0</v>
      </c>
      <c r="O123" s="247">
        <f t="shared" si="29"/>
        <v>0</v>
      </c>
      <c r="P123" s="17"/>
      <c r="Q123" s="17"/>
      <c r="R123" s="18"/>
      <c r="S123" s="18"/>
      <c r="T123" s="10"/>
    </row>
    <row r="124" spans="2:20">
      <c r="B124" s="36">
        <f t="shared" si="26"/>
        <v>0</v>
      </c>
      <c r="C124" s="37"/>
      <c r="D124" s="31"/>
      <c r="E124" s="32"/>
      <c r="F124" s="33">
        <f t="shared" si="27"/>
        <v>0</v>
      </c>
      <c r="G124" s="32"/>
      <c r="H124" s="32"/>
      <c r="I124" s="32"/>
      <c r="J124" s="32"/>
      <c r="K124" s="38"/>
      <c r="L124" s="38"/>
      <c r="M124" s="38"/>
      <c r="N124" s="35">
        <f t="shared" si="28"/>
        <v>0</v>
      </c>
      <c r="O124" s="247">
        <f t="shared" si="29"/>
        <v>0</v>
      </c>
      <c r="P124" s="17"/>
      <c r="Q124" s="17"/>
      <c r="R124" s="18"/>
      <c r="S124" s="18"/>
      <c r="T124" s="10"/>
    </row>
    <row r="125" spans="2:20">
      <c r="B125" s="39" t="s">
        <v>152</v>
      </c>
      <c r="C125" s="40">
        <f>IFERROR(SUM(C113:C124)/COUNTA(C113:C124),0)</f>
        <v>0</v>
      </c>
      <c r="D125" s="248">
        <f>IFERROR(SUM(D113:D124)/COUNTA(D113:D124),0)</f>
        <v>0</v>
      </c>
      <c r="E125" s="249"/>
      <c r="F125" s="248">
        <f>IFERROR(SUM(F113:F124)/COUNTA(F113:F124),0)</f>
        <v>0</v>
      </c>
      <c r="G125" s="40">
        <f>IFERROR(SUM(G113:G124)/COUNTA(G113:G124),0)</f>
        <v>0</v>
      </c>
      <c r="H125" s="41">
        <f t="shared" ref="H125:N125" si="30">IFERROR(SUM(H113:H124)/COUNTA(H113:H124),0)</f>
        <v>0</v>
      </c>
      <c r="I125" s="41">
        <f t="shared" si="30"/>
        <v>0</v>
      </c>
      <c r="J125" s="41">
        <f t="shared" si="30"/>
        <v>0</v>
      </c>
      <c r="K125" s="40">
        <f t="shared" si="30"/>
        <v>0</v>
      </c>
      <c r="L125" s="40">
        <f t="shared" si="30"/>
        <v>0</v>
      </c>
      <c r="M125" s="40">
        <f t="shared" si="30"/>
        <v>0</v>
      </c>
      <c r="N125" s="40">
        <f t="shared" si="30"/>
        <v>0</v>
      </c>
      <c r="O125" s="248">
        <f t="shared" ref="O125" si="31">IFERROR(SUM(O113:O124)/COUNTA(O113:O124),0)</f>
        <v>0</v>
      </c>
      <c r="P125" s="17"/>
      <c r="Q125" s="17"/>
      <c r="R125" s="18"/>
      <c r="S125" s="18"/>
      <c r="T125" s="10"/>
    </row>
    <row r="126" spans="2:20" ht="13.5" customHeight="1">
      <c r="B126" s="42" t="s">
        <v>153</v>
      </c>
      <c r="C126" s="43">
        <f>SUM(C113:C124)</f>
        <v>0</v>
      </c>
      <c r="D126" s="682" t="s">
        <v>1699</v>
      </c>
      <c r="E126" s="682"/>
      <c r="F126" s="249">
        <f>IFERROR(SUM(J113:J118)/SUM(G113:G118),0)</f>
        <v>0</v>
      </c>
      <c r="G126" s="44">
        <f>SUM(G113:G124)</f>
        <v>0</v>
      </c>
      <c r="H126" s="44">
        <f>SUM(H113:H124)</f>
        <v>0</v>
      </c>
      <c r="I126" s="44">
        <f>SUM(I113:I124)</f>
        <v>0</v>
      </c>
      <c r="J126" s="44">
        <f>SUM(J113:J124)</f>
        <v>0</v>
      </c>
      <c r="K126" s="683" t="s">
        <v>154</v>
      </c>
      <c r="L126" s="683"/>
      <c r="M126" s="683"/>
      <c r="N126" s="43">
        <f>MIN(N113:N118)</f>
        <v>0</v>
      </c>
      <c r="O126" s="251">
        <f>MIN(O113:O118)</f>
        <v>0</v>
      </c>
      <c r="P126" s="17"/>
      <c r="Q126" s="17"/>
      <c r="R126" s="18"/>
      <c r="S126" s="18"/>
      <c r="T126" s="10"/>
    </row>
    <row r="127" spans="2:20" s="10" customFormat="1">
      <c r="B127" s="42" t="s">
        <v>155</v>
      </c>
      <c r="C127" s="43">
        <f>C125*12</f>
        <v>0</v>
      </c>
      <c r="D127" s="682" t="s">
        <v>1696</v>
      </c>
      <c r="E127" s="682"/>
      <c r="F127" s="255">
        <f>IFERROR(SUM(I113:I118)/SUM(H113:H118),0)</f>
        <v>0</v>
      </c>
      <c r="G127" s="682" t="s">
        <v>1695</v>
      </c>
      <c r="H127" s="682"/>
      <c r="I127" s="45" t="str">
        <f>IF(H126&lt;=0,"",I126/H126)</f>
        <v/>
      </c>
      <c r="J127" s="45" t="str">
        <f>IF(G126&lt;=0,"",J126/G126)</f>
        <v/>
      </c>
      <c r="K127" s="683" t="s">
        <v>156</v>
      </c>
      <c r="L127" s="683"/>
      <c r="M127" s="683"/>
      <c r="N127" s="43">
        <f>MAX(N113:N118)</f>
        <v>0</v>
      </c>
      <c r="O127" s="251">
        <f>MAX(O113:O118)</f>
        <v>0</v>
      </c>
      <c r="P127" s="17"/>
      <c r="Q127" s="17"/>
      <c r="R127" s="18"/>
      <c r="S127" s="18"/>
    </row>
    <row r="128" spans="2:20" s="10" customFormat="1">
      <c r="B128" s="145"/>
      <c r="C128" s="145"/>
      <c r="D128" s="145"/>
      <c r="E128" s="145"/>
      <c r="F128" s="145"/>
      <c r="G128" s="145"/>
      <c r="H128" s="145"/>
      <c r="I128" s="145"/>
      <c r="J128" s="145"/>
      <c r="K128" s="145"/>
      <c r="L128" s="145"/>
      <c r="M128" s="145"/>
      <c r="N128" s="145"/>
      <c r="O128" s="17"/>
      <c r="P128" s="17"/>
      <c r="Q128" s="17"/>
      <c r="R128" s="18"/>
      <c r="S128" s="18"/>
    </row>
    <row r="129" spans="2:19" s="10" customFormat="1">
      <c r="B129" s="145"/>
      <c r="C129" s="145"/>
      <c r="D129" s="145"/>
      <c r="E129" s="145"/>
      <c r="F129" s="145"/>
      <c r="G129" s="145"/>
      <c r="H129" s="145"/>
      <c r="I129" s="145"/>
      <c r="J129" s="145"/>
      <c r="K129" s="145"/>
      <c r="L129" s="145"/>
      <c r="M129" s="145"/>
      <c r="N129" s="145"/>
      <c r="O129" s="17"/>
      <c r="P129" s="17"/>
      <c r="Q129" s="17"/>
      <c r="R129" s="18"/>
      <c r="S129" s="18"/>
    </row>
    <row r="130" spans="2:19" s="10" customFormat="1">
      <c r="B130" s="145"/>
      <c r="C130" s="145"/>
      <c r="D130" s="145"/>
      <c r="E130" s="145"/>
      <c r="F130" s="145"/>
      <c r="G130" s="145"/>
      <c r="H130" s="145"/>
      <c r="I130" s="145"/>
      <c r="J130" s="145"/>
      <c r="K130" s="145"/>
      <c r="L130" s="145"/>
      <c r="M130" s="145"/>
      <c r="N130" s="145"/>
      <c r="O130" s="17"/>
      <c r="P130" s="17"/>
      <c r="Q130" s="17"/>
      <c r="R130" s="18"/>
      <c r="S130" s="18"/>
    </row>
    <row r="131" spans="2:19"/>
    <row r="132" spans="2:19"/>
  </sheetData>
  <sheetProtection formatCells="0"/>
  <mergeCells count="105">
    <mergeCell ref="P15:R15"/>
    <mergeCell ref="D69:E69"/>
    <mergeCell ref="D88:E88"/>
    <mergeCell ref="D107:E107"/>
    <mergeCell ref="D126:E126"/>
    <mergeCell ref="K31:M31"/>
    <mergeCell ref="K50:M50"/>
    <mergeCell ref="G32:H32"/>
    <mergeCell ref="K32:M32"/>
    <mergeCell ref="D32:E32"/>
    <mergeCell ref="K69:M69"/>
    <mergeCell ref="G51:H51"/>
    <mergeCell ref="K51:M51"/>
    <mergeCell ref="D51:E51"/>
    <mergeCell ref="K88:M88"/>
    <mergeCell ref="G70:H70"/>
    <mergeCell ref="K70:M70"/>
    <mergeCell ref="D70:E70"/>
    <mergeCell ref="K107:M107"/>
    <mergeCell ref="G89:H89"/>
    <mergeCell ref="D89:E89"/>
    <mergeCell ref="C111:D111"/>
    <mergeCell ref="F111:G111"/>
    <mergeCell ref="H111:I111"/>
    <mergeCell ref="C6:D6"/>
    <mergeCell ref="R6:S6"/>
    <mergeCell ref="C7:D7"/>
    <mergeCell ref="R7:S7"/>
    <mergeCell ref="C8:D8"/>
    <mergeCell ref="R8:S8"/>
    <mergeCell ref="B9:I9"/>
    <mergeCell ref="R9:S9"/>
    <mergeCell ref="R10:S10"/>
    <mergeCell ref="O10:Q10"/>
    <mergeCell ref="B1:S1"/>
    <mergeCell ref="C4:D4"/>
    <mergeCell ref="R4:S4"/>
    <mergeCell ref="C2:D2"/>
    <mergeCell ref="R2:S2"/>
    <mergeCell ref="C3:D3"/>
    <mergeCell ref="R3:S3"/>
    <mergeCell ref="C5:D5"/>
    <mergeCell ref="R5:S5"/>
    <mergeCell ref="B34:C34"/>
    <mergeCell ref="D34:F34"/>
    <mergeCell ref="G34:K34"/>
    <mergeCell ref="L34:M34"/>
    <mergeCell ref="C35:D35"/>
    <mergeCell ref="F35:G35"/>
    <mergeCell ref="H35:I35"/>
    <mergeCell ref="J35:K35"/>
    <mergeCell ref="L35:M35"/>
    <mergeCell ref="B53:C53"/>
    <mergeCell ref="D53:F53"/>
    <mergeCell ref="G53:K53"/>
    <mergeCell ref="L53:M53"/>
    <mergeCell ref="C54:D54"/>
    <mergeCell ref="F54:G54"/>
    <mergeCell ref="H54:I54"/>
    <mergeCell ref="J54:K54"/>
    <mergeCell ref="L54:M54"/>
    <mergeCell ref="B72:C72"/>
    <mergeCell ref="D72:F72"/>
    <mergeCell ref="G72:K72"/>
    <mergeCell ref="L72:M72"/>
    <mergeCell ref="C73:D73"/>
    <mergeCell ref="F73:G73"/>
    <mergeCell ref="H73:I73"/>
    <mergeCell ref="J73:K73"/>
    <mergeCell ref="L73:M73"/>
    <mergeCell ref="L110:M110"/>
    <mergeCell ref="D108:E108"/>
    <mergeCell ref="B91:C91"/>
    <mergeCell ref="D91:F91"/>
    <mergeCell ref="G91:K91"/>
    <mergeCell ref="L91:M91"/>
    <mergeCell ref="C92:D92"/>
    <mergeCell ref="F92:G92"/>
    <mergeCell ref="H92:I92"/>
    <mergeCell ref="J92:K92"/>
    <mergeCell ref="L92:M92"/>
    <mergeCell ref="G127:H127"/>
    <mergeCell ref="K127:M127"/>
    <mergeCell ref="K89:M89"/>
    <mergeCell ref="B12:N12"/>
    <mergeCell ref="B15:C15"/>
    <mergeCell ref="D15:F15"/>
    <mergeCell ref="G15:K15"/>
    <mergeCell ref="L15:M15"/>
    <mergeCell ref="C16:D16"/>
    <mergeCell ref="F16:G16"/>
    <mergeCell ref="H16:I16"/>
    <mergeCell ref="J16:K16"/>
    <mergeCell ref="L16:M16"/>
    <mergeCell ref="D127:E127"/>
    <mergeCell ref="D31:E31"/>
    <mergeCell ref="D50:E50"/>
    <mergeCell ref="J111:K111"/>
    <mergeCell ref="L111:M111"/>
    <mergeCell ref="K126:M126"/>
    <mergeCell ref="G108:H108"/>
    <mergeCell ref="K108:M108"/>
    <mergeCell ref="B110:C110"/>
    <mergeCell ref="D110:F110"/>
    <mergeCell ref="G110:K110"/>
  </mergeCells>
  <dataValidations count="7">
    <dataValidation type="list" allowBlank="1" showInputMessage="1" showErrorMessage="1" sqref="N15 N34 N53 N72 N91 N110">
      <formula1>"Yes, No"</formula1>
    </dataValidation>
    <dataValidation type="list" allowBlank="1" showInputMessage="1" showErrorMessage="1" sqref="J16:K16 J35:K35 J54:K54 J73:K73 J92:K92 J111:K111">
      <formula1>"Current Account, CC/OD Account, Savings Account"</formula1>
    </dataValidation>
    <dataValidation type="list" allowBlank="1" showInputMessage="1" showErrorMessage="1" sqref="G34:K34">
      <formula1>$D$18:$D$27</formula1>
    </dataValidation>
    <dataValidation type="list" allowBlank="1" showInputMessage="1" showErrorMessage="1" sqref="G53:K53">
      <formula1>$D$18:$D$27</formula1>
    </dataValidation>
    <dataValidation type="list" allowBlank="1" showInputMessage="1" showErrorMessage="1" sqref="G72:K72">
      <formula1>$D$18:$D$27</formula1>
    </dataValidation>
    <dataValidation type="list" allowBlank="1" showInputMessage="1" showErrorMessage="1" sqref="G91:K91">
      <formula1>$D$18:$D$27</formula1>
    </dataValidation>
    <dataValidation type="list" allowBlank="1" showInputMessage="1" showErrorMessage="1" sqref="G110:K110">
      <formula1>$D$18:$D$27</formula1>
    </dataValidation>
  </dataValidations>
  <pageMargins left="0.7" right="0.7" top="0.75" bottom="0.75" header="0.3" footer="0.3"/>
  <pageSetup orientation="portrait" horizontalDpi="90" verticalDpi="90" r:id="rId1"/>
  <headerFooter>
    <oddFooter>&amp;C&amp;1#&amp;"Calibri"&amp;10&amp;K000000Clix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G15:K15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AS124"/>
  <sheetViews>
    <sheetView showGridLines="0" showZeros="0" zoomScale="85" zoomScaleNormal="85" workbookViewId="0">
      <selection activeCell="G15" sqref="G15"/>
    </sheetView>
  </sheetViews>
  <sheetFormatPr defaultColWidth="0" defaultRowHeight="15" zeroHeight="1"/>
  <cols>
    <col min="1" max="1" width="6.28515625" style="57" customWidth="1"/>
    <col min="2" max="2" width="23.85546875" style="57" customWidth="1"/>
    <col min="3" max="3" width="16.5703125" style="57" customWidth="1"/>
    <col min="4" max="4" width="12.5703125" style="57" customWidth="1"/>
    <col min="5" max="5" width="9.7109375" style="57" customWidth="1"/>
    <col min="6" max="6" width="10.42578125" style="57" customWidth="1"/>
    <col min="7" max="7" width="8.28515625" style="400" customWidth="1"/>
    <col min="8" max="8" width="11" style="57" customWidth="1"/>
    <col min="9" max="9" width="13.28515625" style="57" customWidth="1"/>
    <col min="10" max="10" width="20.7109375" style="57" customWidth="1"/>
    <col min="11" max="11" width="14.140625" style="57" customWidth="1"/>
    <col min="12" max="12" width="12.42578125" style="57" customWidth="1"/>
    <col min="13" max="13" width="13" style="57" customWidth="1"/>
    <col min="14" max="14" width="11.42578125" style="57" customWidth="1"/>
    <col min="15" max="15" width="9.140625" style="57" customWidth="1"/>
    <col min="16" max="16" width="10.7109375" style="57" customWidth="1"/>
    <col min="17" max="17" width="10.85546875" style="57" customWidth="1"/>
    <col min="18" max="18" width="10" style="57" customWidth="1"/>
    <col min="19" max="19" width="9.140625" style="57" customWidth="1"/>
    <col min="20" max="20" width="26.7109375" style="57" customWidth="1"/>
    <col min="21" max="21" width="9.42578125" style="58" bestFit="1" customWidth="1"/>
    <col min="22" max="33" width="14.85546875" style="57" bestFit="1" customWidth="1"/>
    <col min="34" max="34" width="12.140625" style="57" bestFit="1" customWidth="1"/>
    <col min="35" max="45" width="12.7109375" style="59" customWidth="1"/>
    <col min="46" max="16384" width="9.140625" style="59" hidden="1"/>
  </cols>
  <sheetData>
    <row r="1" spans="1:45" s="48" customFormat="1" ht="21">
      <c r="A1" s="728" t="s">
        <v>162</v>
      </c>
      <c r="B1" s="728"/>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28"/>
      <c r="AD1" s="728"/>
      <c r="AE1" s="728"/>
      <c r="AF1" s="728"/>
      <c r="AG1" s="728"/>
      <c r="AH1" s="47"/>
    </row>
    <row r="2" spans="1:45" s="54" customFormat="1" ht="15.75">
      <c r="A2" s="729" t="s">
        <v>163</v>
      </c>
      <c r="B2" s="729"/>
      <c r="C2" s="49"/>
      <c r="D2" s="729" t="s">
        <v>164</v>
      </c>
      <c r="E2" s="729"/>
      <c r="F2" s="50">
        <v>0</v>
      </c>
      <c r="G2" s="726" t="s">
        <v>1701</v>
      </c>
      <c r="H2" s="726"/>
      <c r="I2" s="726"/>
      <c r="J2" s="727"/>
      <c r="K2" s="323" t="s">
        <v>402</v>
      </c>
      <c r="L2" s="51"/>
      <c r="M2" s="52"/>
      <c r="N2" s="52"/>
      <c r="O2" s="52"/>
      <c r="P2" s="52"/>
      <c r="Q2" s="52"/>
      <c r="R2" s="52"/>
      <c r="S2" s="52"/>
      <c r="T2" s="52"/>
      <c r="U2" s="53"/>
      <c r="V2" s="52"/>
      <c r="W2" s="52"/>
      <c r="X2" s="52"/>
      <c r="Y2" s="52"/>
      <c r="Z2" s="52"/>
      <c r="AA2" s="52"/>
      <c r="AB2" s="52"/>
      <c r="AC2" s="52"/>
      <c r="AD2" s="52"/>
      <c r="AE2" s="52"/>
      <c r="AF2" s="52"/>
      <c r="AG2" s="52"/>
      <c r="AH2" s="52"/>
    </row>
    <row r="3" spans="1:45" s="54" customFormat="1" ht="15.75">
      <c r="A3" s="729" t="s">
        <v>1686</v>
      </c>
      <c r="B3" s="729"/>
      <c r="C3" s="323" t="s">
        <v>1688</v>
      </c>
      <c r="D3" s="729" t="s">
        <v>165</v>
      </c>
      <c r="E3" s="729"/>
      <c r="F3" s="323" t="s">
        <v>402</v>
      </c>
      <c r="G3" s="726" t="s">
        <v>166</v>
      </c>
      <c r="H3" s="726"/>
      <c r="I3" s="726"/>
      <c r="J3" s="727"/>
      <c r="K3" s="323" t="s">
        <v>402</v>
      </c>
      <c r="L3" s="51"/>
      <c r="M3" s="52"/>
      <c r="N3" s="52"/>
      <c r="O3" s="52"/>
      <c r="P3" s="52"/>
      <c r="Q3" s="52"/>
      <c r="R3" s="52"/>
      <c r="S3" s="52"/>
      <c r="T3" s="52"/>
      <c r="U3" s="53"/>
      <c r="V3" s="52"/>
      <c r="W3" s="52"/>
      <c r="X3" s="52"/>
      <c r="Y3" s="52"/>
      <c r="Z3" s="52"/>
      <c r="AA3" s="52"/>
      <c r="AB3" s="52"/>
      <c r="AC3" s="52"/>
      <c r="AD3" s="52"/>
      <c r="AE3" s="52"/>
      <c r="AF3" s="52"/>
      <c r="AG3" s="52"/>
      <c r="AH3" s="52"/>
    </row>
    <row r="4" spans="1:45" s="54" customFormat="1" ht="15.75">
      <c r="A4" s="729" t="s">
        <v>167</v>
      </c>
      <c r="B4" s="729"/>
      <c r="C4" s="256">
        <v>0</v>
      </c>
      <c r="D4" s="724" t="s">
        <v>1682</v>
      </c>
      <c r="E4" s="725"/>
      <c r="F4" s="323" t="s">
        <v>402</v>
      </c>
      <c r="G4" s="726" t="s">
        <v>1685</v>
      </c>
      <c r="H4" s="726"/>
      <c r="I4" s="726"/>
      <c r="J4" s="727"/>
      <c r="K4" s="323" t="s">
        <v>1684</v>
      </c>
      <c r="L4" s="51"/>
      <c r="M4" s="52"/>
      <c r="N4" s="52"/>
      <c r="O4" s="52"/>
      <c r="P4" s="52"/>
      <c r="Q4" s="52"/>
      <c r="R4" s="52"/>
      <c r="S4" s="52"/>
      <c r="T4" s="52"/>
      <c r="U4" s="53"/>
      <c r="V4" s="52"/>
      <c r="W4" s="52"/>
      <c r="X4" s="52"/>
      <c r="Y4" s="52"/>
      <c r="Z4" s="52"/>
      <c r="AA4" s="52"/>
      <c r="AB4" s="52"/>
      <c r="AC4" s="52"/>
      <c r="AD4" s="52"/>
      <c r="AE4" s="52"/>
      <c r="AF4" s="52"/>
      <c r="AG4" s="52"/>
      <c r="AH4" s="52"/>
    </row>
    <row r="5" spans="1:45">
      <c r="A5" s="55" t="s">
        <v>168</v>
      </c>
      <c r="B5" s="56"/>
      <c r="C5" s="56"/>
    </row>
    <row r="6" spans="1:45" s="60" customFormat="1" ht="45" customHeight="1">
      <c r="A6" s="719" t="s">
        <v>169</v>
      </c>
      <c r="B6" s="720" t="s">
        <v>170</v>
      </c>
      <c r="C6" s="720" t="s">
        <v>171</v>
      </c>
      <c r="D6" s="720" t="s">
        <v>172</v>
      </c>
      <c r="E6" s="720" t="s">
        <v>173</v>
      </c>
      <c r="F6" s="720" t="s">
        <v>174</v>
      </c>
      <c r="G6" s="721" t="s">
        <v>175</v>
      </c>
      <c r="H6" s="720" t="s">
        <v>176</v>
      </c>
      <c r="I6" s="720" t="s">
        <v>1678</v>
      </c>
      <c r="J6" s="713" t="s">
        <v>177</v>
      </c>
      <c r="K6" s="713" t="s">
        <v>178</v>
      </c>
      <c r="L6" s="713" t="s">
        <v>179</v>
      </c>
      <c r="M6" s="720" t="s">
        <v>180</v>
      </c>
      <c r="N6" s="720" t="s">
        <v>181</v>
      </c>
      <c r="O6" s="720" t="s">
        <v>182</v>
      </c>
      <c r="P6" s="720" t="s">
        <v>183</v>
      </c>
      <c r="Q6" s="720" t="s">
        <v>184</v>
      </c>
      <c r="R6" s="720" t="s">
        <v>185</v>
      </c>
      <c r="S6" s="720" t="s">
        <v>186</v>
      </c>
      <c r="T6" s="713" t="s">
        <v>187</v>
      </c>
      <c r="U6" s="713" t="s">
        <v>188</v>
      </c>
      <c r="V6" s="720" t="s">
        <v>189</v>
      </c>
      <c r="W6" s="720"/>
      <c r="X6" s="720"/>
      <c r="Y6" s="720"/>
      <c r="Z6" s="720"/>
      <c r="AA6" s="720"/>
      <c r="AB6" s="720"/>
      <c r="AC6" s="720"/>
      <c r="AD6" s="720"/>
      <c r="AE6" s="720"/>
      <c r="AF6" s="720"/>
      <c r="AG6" s="720"/>
      <c r="AI6" s="266" t="s">
        <v>1725</v>
      </c>
      <c r="AJ6" s="266" t="s">
        <v>1725</v>
      </c>
      <c r="AK6" s="266" t="s">
        <v>1726</v>
      </c>
      <c r="AL6" s="266" t="s">
        <v>1725</v>
      </c>
      <c r="AM6" s="266" t="s">
        <v>1726</v>
      </c>
      <c r="AN6" s="266" t="s">
        <v>1725</v>
      </c>
      <c r="AO6" s="266" t="s">
        <v>1726</v>
      </c>
      <c r="AP6" s="266" t="s">
        <v>1725</v>
      </c>
      <c r="AQ6" s="266" t="s">
        <v>1726</v>
      </c>
      <c r="AR6" s="266" t="s">
        <v>1725</v>
      </c>
      <c r="AS6" s="266" t="s">
        <v>1726</v>
      </c>
    </row>
    <row r="7" spans="1:45">
      <c r="A7" s="719"/>
      <c r="B7" s="720"/>
      <c r="C7" s="720"/>
      <c r="D7" s="720"/>
      <c r="E7" s="720"/>
      <c r="F7" s="720"/>
      <c r="G7" s="721"/>
      <c r="H7" s="720"/>
      <c r="I7" s="720"/>
      <c r="J7" s="714"/>
      <c r="K7" s="714"/>
      <c r="L7" s="714"/>
      <c r="M7" s="720"/>
      <c r="N7" s="720"/>
      <c r="O7" s="720"/>
      <c r="P7" s="720"/>
      <c r="Q7" s="720"/>
      <c r="R7" s="720"/>
      <c r="S7" s="720"/>
      <c r="T7" s="714"/>
      <c r="U7" s="714"/>
      <c r="V7" s="289">
        <v>44501</v>
      </c>
      <c r="W7" s="61">
        <f t="shared" ref="W7:AG7" si="0">DATE(YEAR(V7),MONTH(V7)-1,DAY(V7))</f>
        <v>44470</v>
      </c>
      <c r="X7" s="61">
        <f t="shared" si="0"/>
        <v>44440</v>
      </c>
      <c r="Y7" s="61">
        <f t="shared" si="0"/>
        <v>44409</v>
      </c>
      <c r="Z7" s="61">
        <f t="shared" si="0"/>
        <v>44378</v>
      </c>
      <c r="AA7" s="61">
        <f t="shared" si="0"/>
        <v>44348</v>
      </c>
      <c r="AB7" s="61">
        <f t="shared" si="0"/>
        <v>44317</v>
      </c>
      <c r="AC7" s="61">
        <f t="shared" si="0"/>
        <v>44287</v>
      </c>
      <c r="AD7" s="61">
        <f t="shared" si="0"/>
        <v>44256</v>
      </c>
      <c r="AE7" s="61">
        <f t="shared" si="0"/>
        <v>44228</v>
      </c>
      <c r="AF7" s="61">
        <f t="shared" si="0"/>
        <v>44197</v>
      </c>
      <c r="AG7" s="61">
        <f t="shared" si="0"/>
        <v>44166</v>
      </c>
      <c r="AH7" s="59"/>
      <c r="AI7" s="265">
        <v>42825</v>
      </c>
      <c r="AJ7" s="265">
        <v>43190</v>
      </c>
      <c r="AK7" s="265">
        <v>43190</v>
      </c>
      <c r="AL7" s="265">
        <v>43555</v>
      </c>
      <c r="AM7" s="265">
        <v>43555</v>
      </c>
      <c r="AN7" s="265">
        <v>43921</v>
      </c>
      <c r="AO7" s="265">
        <v>43921</v>
      </c>
      <c r="AP7" s="265">
        <v>44286</v>
      </c>
      <c r="AQ7" s="265">
        <v>44286</v>
      </c>
      <c r="AR7" s="265">
        <v>44651</v>
      </c>
      <c r="AS7" s="265">
        <v>44651</v>
      </c>
    </row>
    <row r="8" spans="1:45" s="48" customFormat="1">
      <c r="A8" s="146"/>
      <c r="B8" s="317"/>
      <c r="C8" s="411"/>
      <c r="D8" s="411"/>
      <c r="E8" s="411"/>
      <c r="F8" s="321"/>
      <c r="G8" s="412"/>
      <c r="H8" s="412"/>
      <c r="I8" s="411"/>
      <c r="J8" s="321"/>
      <c r="K8" s="272"/>
      <c r="L8" s="272"/>
      <c r="M8" s="272"/>
      <c r="N8" s="324"/>
      <c r="O8" s="411"/>
      <c r="P8" s="415"/>
      <c r="Q8" s="415"/>
      <c r="R8" s="274">
        <v>0</v>
      </c>
      <c r="S8" s="274">
        <f>IF(O8=R8,0,O8-R8)</f>
        <v>0</v>
      </c>
      <c r="T8" s="411"/>
      <c r="U8" s="395"/>
      <c r="V8" s="290"/>
      <c r="W8" s="290"/>
      <c r="X8" s="290"/>
      <c r="Y8" s="290"/>
      <c r="Z8" s="290"/>
      <c r="AA8" s="290"/>
      <c r="AB8" s="290"/>
      <c r="AC8" s="290"/>
      <c r="AD8" s="290"/>
      <c r="AE8" s="290"/>
      <c r="AF8" s="290"/>
      <c r="AG8" s="290"/>
      <c r="AI8" s="270" t="str">
        <f>IF(ISERROR(IF(P8&gt;0,DATEDIF(P8,MIN($AI$7,Q8),"m"),"")),0,IF(P8&gt;0,DATEDIF(P8,MIN($AI$7,Q8),"m"),""))</f>
        <v/>
      </c>
      <c r="AJ8" s="270" t="str">
        <f>IF(ISERROR(IF(P8&gt;0,DATEDIF(P8,MIN($AJ$7,Q8),"m"),"")),0,IF(P8&gt;0,DATEDIF(P8,MIN($AJ$7,Q8),"m"),""))</f>
        <v/>
      </c>
      <c r="AK8" s="271">
        <f>IFERROR((AJ8-AI8)*I8,0)</f>
        <v>0</v>
      </c>
      <c r="AL8" s="270" t="str">
        <f>IF(ISERROR(IF(P8&gt;0,DATEDIF(P8,MIN($AL$7,Q8),"m"),"")),0,IF(P8&gt;0,DATEDIF(P8,MIN($AL$7,Q8),"m"),""))</f>
        <v/>
      </c>
      <c r="AM8" s="270">
        <f>IFERROR((AL8-AJ8)*I8,0)</f>
        <v>0</v>
      </c>
      <c r="AN8" s="270" t="str">
        <f>IF(ISERROR(IF(P8&gt;0,DATEDIF(P8,MIN($AN$7,Q8),"m"),"")),0,IF(P8&gt;0,DATEDIF(P8,MIN($AN$7,Q8),"m"),""))</f>
        <v/>
      </c>
      <c r="AO8" s="270">
        <f>IFERROR((AN8-AL8)*I8,0)</f>
        <v>0</v>
      </c>
      <c r="AP8" s="270" t="str">
        <f>IF(ISERROR(IF(P8&gt;0,DATEDIF(P8,MIN($AP$7,Q8),"m"),"")),0,IF(P8&gt;0,DATEDIF(P8,MIN($AP$7,Q8),"m"),""))</f>
        <v/>
      </c>
      <c r="AQ8" s="270">
        <f>IFERROR((AP8-AN8)*I8,0)</f>
        <v>0</v>
      </c>
      <c r="AR8" s="270" t="str">
        <f>IF(ISERROR(IF(R8&gt;0,DATEDIF(R8,MIN($AP$7,S8),"m"),"")),0,IF(R8&gt;0,DATEDIF(R8,MIN($AR$7,S8),"m"),""))</f>
        <v/>
      </c>
      <c r="AS8" s="270">
        <f>IFERROR((AR8-AP8)*K8,0)</f>
        <v>0</v>
      </c>
    </row>
    <row r="9" spans="1:45" s="48" customFormat="1">
      <c r="A9" s="146"/>
      <c r="B9" s="317"/>
      <c r="C9" s="411"/>
      <c r="D9" s="411"/>
      <c r="E9" s="411"/>
      <c r="F9" s="321"/>
      <c r="G9" s="465"/>
      <c r="H9" s="412"/>
      <c r="I9" s="411"/>
      <c r="J9" s="321"/>
      <c r="K9" s="272"/>
      <c r="L9" s="272"/>
      <c r="M9" s="272"/>
      <c r="N9" s="324"/>
      <c r="O9" s="411"/>
      <c r="P9" s="415"/>
      <c r="Q9" s="415"/>
      <c r="R9" s="274" t="str">
        <f>IF(ISERROR(IF(P9&gt;0,DATEDIF(P9,MIN(CAM!$D$4,Q9),"m"),"")),0,IF(P9&gt;0,DATEDIF(P9,MIN(CAM!$D$4,Q9),"m"),""))</f>
        <v/>
      </c>
      <c r="S9" s="274">
        <f t="shared" ref="S9:S71" si="1">IF(O9=R9,0,O9-R9)</f>
        <v>0</v>
      </c>
      <c r="T9" s="411"/>
      <c r="U9" s="395"/>
      <c r="V9" s="290"/>
      <c r="W9" s="290"/>
      <c r="X9" s="290"/>
      <c r="Y9" s="290"/>
      <c r="Z9" s="290"/>
      <c r="AA9" s="290"/>
      <c r="AB9" s="290"/>
      <c r="AC9" s="290"/>
      <c r="AD9" s="290"/>
      <c r="AE9" s="290"/>
      <c r="AF9" s="290"/>
      <c r="AG9" s="290"/>
      <c r="AI9" s="270" t="str">
        <f t="shared" ref="AI9:AI71" si="2">IF(ISERROR(IF(P9&gt;0,DATEDIF(P9,MIN($AI$7,Q9),"m"),"")),0,IF(P9&gt;0,DATEDIF(P9,MIN($AI$7,Q9),"m"),""))</f>
        <v/>
      </c>
      <c r="AJ9" s="270" t="str">
        <f t="shared" ref="AJ9:AJ71" si="3">IF(ISERROR(IF(P9&gt;0,DATEDIF(P9,MIN($AJ$7,Q9),"m"),"")),0,IF(P9&gt;0,DATEDIF(P9,MIN($AJ$7,Q9),"m"),""))</f>
        <v/>
      </c>
      <c r="AK9" s="271">
        <f>IFERROR((AJ9-AI9)*I9,0)</f>
        <v>0</v>
      </c>
      <c r="AL9" s="270" t="str">
        <f t="shared" ref="AL9:AL71" si="4">IF(ISERROR(IF(P9&gt;0,DATEDIF(P9,MIN($AL$7,Q9),"m"),"")),0,IF(P9&gt;0,DATEDIF(P9,MIN($AL$7,Q9),"m"),""))</f>
        <v/>
      </c>
      <c r="AM9" s="270">
        <f t="shared" ref="AM9:AM71" si="5">IFERROR((AL9-AJ9)*I9,0)</f>
        <v>0</v>
      </c>
      <c r="AN9" s="270" t="str">
        <f t="shared" ref="AN9:AN71" si="6">IF(ISERROR(IF(P9&gt;0,DATEDIF(P9,MIN($AN$7,Q9),"m"),"")),0,IF(P9&gt;0,DATEDIF(P9,MIN($AN$7,Q9),"m"),""))</f>
        <v/>
      </c>
      <c r="AO9" s="270">
        <f t="shared" ref="AO9:AO71" si="7">IFERROR((AN9-AL9)*I9,0)</f>
        <v>0</v>
      </c>
      <c r="AP9" s="270" t="str">
        <f t="shared" ref="AP9:AP71" si="8">IF(ISERROR(IF(P9&gt;0,DATEDIF(P9,MIN($AP$7,Q9),"m"),"")),0,IF(P9&gt;0,DATEDIF(P9,MIN($AP$7,Q9),"m"),""))</f>
        <v/>
      </c>
      <c r="AQ9" s="270">
        <f t="shared" ref="AQ9:AQ71" si="9">IFERROR((AP9-AN9)*I9,0)</f>
        <v>0</v>
      </c>
      <c r="AR9" s="270">
        <f t="shared" ref="AR9:AR71" si="10">IF(ISERROR(IF(R9&gt;0,DATEDIF(R9,MIN($AP$7,S9),"m"),"")),0,IF(R9&gt;0,DATEDIF(R9,MIN($AR$7,S9),"m"),""))</f>
        <v>0</v>
      </c>
      <c r="AS9" s="270">
        <f t="shared" ref="AS9:AS71" si="11">IFERROR((AR9-AP9)*K9,0)</f>
        <v>0</v>
      </c>
    </row>
    <row r="10" spans="1:45" s="48" customFormat="1">
      <c r="A10" s="146"/>
      <c r="B10" s="317"/>
      <c r="C10" s="411"/>
      <c r="D10" s="411"/>
      <c r="E10" s="411"/>
      <c r="F10" s="321"/>
      <c r="G10" s="465"/>
      <c r="H10" s="412"/>
      <c r="I10" s="411"/>
      <c r="J10" s="321"/>
      <c r="K10" s="272"/>
      <c r="L10" s="272"/>
      <c r="M10" s="272"/>
      <c r="N10" s="324"/>
      <c r="O10" s="411"/>
      <c r="P10" s="415"/>
      <c r="Q10" s="415"/>
      <c r="R10" s="274" t="str">
        <f>IF(ISERROR(IF(P10&gt;0,DATEDIF(P10,MIN(CAM!$D$4,Q10),"m"),"")),0,IF(P10&gt;0,DATEDIF(P10,MIN(CAM!$D$4,Q10),"m"),""))</f>
        <v/>
      </c>
      <c r="S10" s="274">
        <f t="shared" si="1"/>
        <v>0</v>
      </c>
      <c r="T10" s="411"/>
      <c r="U10" s="395"/>
      <c r="V10" s="290"/>
      <c r="W10" s="290"/>
      <c r="X10" s="290"/>
      <c r="Y10" s="290"/>
      <c r="Z10" s="290"/>
      <c r="AA10" s="290"/>
      <c r="AB10" s="290"/>
      <c r="AC10" s="290"/>
      <c r="AD10" s="290"/>
      <c r="AE10" s="290"/>
      <c r="AF10" s="290"/>
      <c r="AG10" s="290"/>
      <c r="AI10" s="270" t="str">
        <f t="shared" si="2"/>
        <v/>
      </c>
      <c r="AJ10" s="270" t="str">
        <f t="shared" si="3"/>
        <v/>
      </c>
      <c r="AK10" s="271">
        <f t="shared" ref="AK10:AK72" si="12">IFERROR((AJ10-AI10)*I10,0)</f>
        <v>0</v>
      </c>
      <c r="AL10" s="270" t="str">
        <f t="shared" si="4"/>
        <v/>
      </c>
      <c r="AM10" s="270">
        <f t="shared" si="5"/>
        <v>0</v>
      </c>
      <c r="AN10" s="270" t="str">
        <f t="shared" si="6"/>
        <v/>
      </c>
      <c r="AO10" s="270">
        <f t="shared" si="7"/>
        <v>0</v>
      </c>
      <c r="AP10" s="270" t="str">
        <f t="shared" si="8"/>
        <v/>
      </c>
      <c r="AQ10" s="270">
        <f t="shared" si="9"/>
        <v>0</v>
      </c>
      <c r="AR10" s="270">
        <f t="shared" si="10"/>
        <v>0</v>
      </c>
      <c r="AS10" s="270">
        <f t="shared" si="11"/>
        <v>0</v>
      </c>
    </row>
    <row r="11" spans="1:45" s="48" customFormat="1">
      <c r="A11" s="146"/>
      <c r="B11" s="317"/>
      <c r="C11" s="411"/>
      <c r="D11" s="411"/>
      <c r="E11" s="411"/>
      <c r="F11" s="321"/>
      <c r="G11" s="465"/>
      <c r="H11" s="412"/>
      <c r="I11" s="411"/>
      <c r="J11" s="321"/>
      <c r="K11" s="272"/>
      <c r="L11" s="272"/>
      <c r="M11" s="272"/>
      <c r="N11" s="324"/>
      <c r="O11" s="411"/>
      <c r="P11" s="415"/>
      <c r="Q11" s="415"/>
      <c r="R11" s="274" t="str">
        <f>IF(ISERROR(IF(P11&gt;0,DATEDIF(P11,MIN(CAM!$D$4,Q11),"m"),"")),0,IF(P11&gt;0,DATEDIF(P11,MIN(CAM!$D$4,Q11),"m"),""))</f>
        <v/>
      </c>
      <c r="S11" s="274">
        <f t="shared" si="1"/>
        <v>0</v>
      </c>
      <c r="T11" s="411"/>
      <c r="U11" s="395"/>
      <c r="V11" s="290"/>
      <c r="W11" s="290"/>
      <c r="X11" s="290"/>
      <c r="Y11" s="290"/>
      <c r="Z11" s="290"/>
      <c r="AA11" s="290"/>
      <c r="AB11" s="290"/>
      <c r="AC11" s="290"/>
      <c r="AD11" s="290"/>
      <c r="AE11" s="290"/>
      <c r="AF11" s="290"/>
      <c r="AG11" s="290"/>
      <c r="AI11" s="270" t="str">
        <f t="shared" si="2"/>
        <v/>
      </c>
      <c r="AJ11" s="270" t="str">
        <f t="shared" si="3"/>
        <v/>
      </c>
      <c r="AK11" s="271">
        <f t="shared" si="12"/>
        <v>0</v>
      </c>
      <c r="AL11" s="270" t="str">
        <f t="shared" si="4"/>
        <v/>
      </c>
      <c r="AM11" s="270">
        <f t="shared" si="5"/>
        <v>0</v>
      </c>
      <c r="AN11" s="270" t="str">
        <f t="shared" si="6"/>
        <v/>
      </c>
      <c r="AO11" s="270">
        <f t="shared" si="7"/>
        <v>0</v>
      </c>
      <c r="AP11" s="270" t="str">
        <f t="shared" si="8"/>
        <v/>
      </c>
      <c r="AQ11" s="270">
        <f t="shared" si="9"/>
        <v>0</v>
      </c>
      <c r="AR11" s="270">
        <f t="shared" si="10"/>
        <v>0</v>
      </c>
      <c r="AS11" s="270">
        <f t="shared" si="11"/>
        <v>0</v>
      </c>
    </row>
    <row r="12" spans="1:45" s="48" customFormat="1">
      <c r="A12" s="146"/>
      <c r="B12" s="317"/>
      <c r="C12" s="411"/>
      <c r="D12" s="411"/>
      <c r="E12" s="411"/>
      <c r="F12" s="321"/>
      <c r="G12" s="465"/>
      <c r="H12" s="412"/>
      <c r="I12" s="411"/>
      <c r="J12" s="321"/>
      <c r="K12" s="272"/>
      <c r="L12" s="272"/>
      <c r="M12" s="272"/>
      <c r="N12" s="324"/>
      <c r="O12" s="411"/>
      <c r="P12" s="415"/>
      <c r="Q12" s="415"/>
      <c r="R12" s="274" t="str">
        <f>IF(ISERROR(IF(P12&gt;0,DATEDIF(P12,MIN(CAM!$D$4,Q12),"m"),"")),0,IF(P12&gt;0,DATEDIF(P12,MIN(CAM!$D$4,Q12),"m"),""))</f>
        <v/>
      </c>
      <c r="S12" s="274">
        <f t="shared" si="1"/>
        <v>0</v>
      </c>
      <c r="T12" s="411"/>
      <c r="U12" s="395"/>
      <c r="V12" s="290"/>
      <c r="W12" s="290"/>
      <c r="X12" s="290"/>
      <c r="Y12" s="290"/>
      <c r="Z12" s="290"/>
      <c r="AA12" s="290"/>
      <c r="AB12" s="290"/>
      <c r="AC12" s="290"/>
      <c r="AD12" s="413"/>
      <c r="AE12" s="290"/>
      <c r="AF12" s="290"/>
      <c r="AG12" s="290"/>
      <c r="AI12" s="270" t="str">
        <f t="shared" si="2"/>
        <v/>
      </c>
      <c r="AJ12" s="270" t="str">
        <f t="shared" si="3"/>
        <v/>
      </c>
      <c r="AK12" s="271">
        <f t="shared" si="12"/>
        <v>0</v>
      </c>
      <c r="AL12" s="270" t="str">
        <f t="shared" si="4"/>
        <v/>
      </c>
      <c r="AM12" s="270">
        <f t="shared" si="5"/>
        <v>0</v>
      </c>
      <c r="AN12" s="270" t="str">
        <f t="shared" si="6"/>
        <v/>
      </c>
      <c r="AO12" s="270">
        <f t="shared" si="7"/>
        <v>0</v>
      </c>
      <c r="AP12" s="270" t="str">
        <f t="shared" si="8"/>
        <v/>
      </c>
      <c r="AQ12" s="270">
        <f t="shared" si="9"/>
        <v>0</v>
      </c>
      <c r="AR12" s="270">
        <f t="shared" si="10"/>
        <v>0</v>
      </c>
      <c r="AS12" s="270">
        <f t="shared" si="11"/>
        <v>0</v>
      </c>
    </row>
    <row r="13" spans="1:45" s="48" customFormat="1">
      <c r="A13" s="146"/>
      <c r="B13" s="317"/>
      <c r="C13" s="411"/>
      <c r="D13" s="411"/>
      <c r="E13" s="411"/>
      <c r="F13" s="321"/>
      <c r="G13" s="465"/>
      <c r="H13" s="412"/>
      <c r="I13" s="411"/>
      <c r="J13" s="321"/>
      <c r="K13" s="272"/>
      <c r="L13" s="272"/>
      <c r="M13" s="272"/>
      <c r="N13" s="324"/>
      <c r="O13" s="411"/>
      <c r="P13" s="415"/>
      <c r="Q13" s="415"/>
      <c r="R13" s="274" t="str">
        <f>IF(ISERROR(IF(P13&gt;0,DATEDIF(P13,MIN(CAM!$D$4,Q13),"m"),"")),0,IF(P13&gt;0,DATEDIF(P13,MIN(CAM!$D$4,Q13),"m"),""))</f>
        <v/>
      </c>
      <c r="S13" s="274">
        <f t="shared" si="1"/>
        <v>0</v>
      </c>
      <c r="T13" s="411"/>
      <c r="U13" s="395"/>
      <c r="V13" s="290"/>
      <c r="W13" s="290"/>
      <c r="X13" s="290"/>
      <c r="Y13" s="290"/>
      <c r="Z13" s="290"/>
      <c r="AA13" s="290"/>
      <c r="AB13" s="290"/>
      <c r="AC13" s="290"/>
      <c r="AD13" s="413"/>
      <c r="AE13" s="290"/>
      <c r="AF13" s="290"/>
      <c r="AG13" s="290"/>
      <c r="AI13" s="270" t="str">
        <f t="shared" si="2"/>
        <v/>
      </c>
      <c r="AJ13" s="270" t="str">
        <f t="shared" si="3"/>
        <v/>
      </c>
      <c r="AK13" s="271">
        <f t="shared" si="12"/>
        <v>0</v>
      </c>
      <c r="AL13" s="270" t="str">
        <f t="shared" si="4"/>
        <v/>
      </c>
      <c r="AM13" s="270">
        <f t="shared" si="5"/>
        <v>0</v>
      </c>
      <c r="AN13" s="270" t="str">
        <f t="shared" si="6"/>
        <v/>
      </c>
      <c r="AO13" s="270">
        <f t="shared" si="7"/>
        <v>0</v>
      </c>
      <c r="AP13" s="270" t="str">
        <f t="shared" si="8"/>
        <v/>
      </c>
      <c r="AQ13" s="270">
        <f t="shared" si="9"/>
        <v>0</v>
      </c>
      <c r="AR13" s="270">
        <f t="shared" si="10"/>
        <v>0</v>
      </c>
      <c r="AS13" s="270">
        <f t="shared" si="11"/>
        <v>0</v>
      </c>
    </row>
    <row r="14" spans="1:45" s="48" customFormat="1">
      <c r="A14" s="146"/>
      <c r="B14" s="317"/>
      <c r="C14" s="411"/>
      <c r="D14" s="411"/>
      <c r="E14" s="411"/>
      <c r="F14" s="321"/>
      <c r="G14" s="465"/>
      <c r="H14" s="412"/>
      <c r="I14" s="411"/>
      <c r="J14" s="321"/>
      <c r="K14" s="272"/>
      <c r="L14" s="272"/>
      <c r="M14" s="272"/>
      <c r="N14" s="324"/>
      <c r="O14" s="411"/>
      <c r="P14" s="415"/>
      <c r="Q14" s="415"/>
      <c r="R14" s="274" t="str">
        <f>IF(ISERROR(IF(P14&gt;0,DATEDIF(P14,MIN(CAM!$D$4,Q14),"m"),"")),0,IF(P14&gt;0,DATEDIF(P14,MIN(CAM!$D$4,Q14),"m"),""))</f>
        <v/>
      </c>
      <c r="S14" s="274">
        <f t="shared" si="1"/>
        <v>0</v>
      </c>
      <c r="T14" s="411"/>
      <c r="U14" s="395"/>
      <c r="V14" s="290"/>
      <c r="W14" s="290"/>
      <c r="X14" s="290"/>
      <c r="Y14" s="290"/>
      <c r="Z14" s="413"/>
      <c r="AA14" s="413"/>
      <c r="AB14" s="413"/>
      <c r="AC14" s="414"/>
      <c r="AD14" s="413"/>
      <c r="AE14" s="290"/>
      <c r="AF14" s="290"/>
      <c r="AG14" s="290"/>
      <c r="AI14" s="270" t="str">
        <f t="shared" si="2"/>
        <v/>
      </c>
      <c r="AJ14" s="270" t="str">
        <f t="shared" si="3"/>
        <v/>
      </c>
      <c r="AK14" s="271">
        <f t="shared" si="12"/>
        <v>0</v>
      </c>
      <c r="AL14" s="270" t="str">
        <f t="shared" si="4"/>
        <v/>
      </c>
      <c r="AM14" s="270">
        <f t="shared" si="5"/>
        <v>0</v>
      </c>
      <c r="AN14" s="270" t="str">
        <f t="shared" si="6"/>
        <v/>
      </c>
      <c r="AO14" s="270">
        <f t="shared" si="7"/>
        <v>0</v>
      </c>
      <c r="AP14" s="270" t="str">
        <f t="shared" si="8"/>
        <v/>
      </c>
      <c r="AQ14" s="270">
        <f t="shared" si="9"/>
        <v>0</v>
      </c>
      <c r="AR14" s="270">
        <f t="shared" si="10"/>
        <v>0</v>
      </c>
      <c r="AS14" s="270">
        <f t="shared" si="11"/>
        <v>0</v>
      </c>
    </row>
    <row r="15" spans="1:45" s="48" customFormat="1">
      <c r="A15" s="146"/>
      <c r="B15" s="317"/>
      <c r="C15" s="411"/>
      <c r="D15" s="411"/>
      <c r="E15" s="411"/>
      <c r="F15" s="321"/>
      <c r="G15" s="465"/>
      <c r="H15" s="412"/>
      <c r="I15" s="411"/>
      <c r="J15" s="321"/>
      <c r="K15" s="272"/>
      <c r="L15" s="272"/>
      <c r="M15" s="272"/>
      <c r="N15" s="324"/>
      <c r="O15" s="411"/>
      <c r="P15" s="415"/>
      <c r="Q15" s="415"/>
      <c r="R15" s="274" t="str">
        <f>IF(ISERROR(IF(P15&gt;0,DATEDIF(P15,MIN(CAM!$D$4,Q15),"m"),"")),0,IF(P15&gt;0,DATEDIF(P15,MIN(CAM!$D$4,Q15),"m"),""))</f>
        <v/>
      </c>
      <c r="S15" s="274">
        <f t="shared" si="1"/>
        <v>0</v>
      </c>
      <c r="T15" s="411"/>
      <c r="U15" s="395"/>
      <c r="V15" s="290"/>
      <c r="W15" s="290"/>
      <c r="X15" s="290"/>
      <c r="Y15" s="290"/>
      <c r="Z15" s="413"/>
      <c r="AA15" s="399"/>
      <c r="AB15" s="399"/>
      <c r="AC15" s="399"/>
      <c r="AD15" s="290"/>
      <c r="AE15" s="290"/>
      <c r="AF15" s="290"/>
      <c r="AG15" s="290"/>
      <c r="AI15" s="270" t="str">
        <f t="shared" si="2"/>
        <v/>
      </c>
      <c r="AJ15" s="270" t="str">
        <f t="shared" si="3"/>
        <v/>
      </c>
      <c r="AK15" s="271">
        <f t="shared" si="12"/>
        <v>0</v>
      </c>
      <c r="AL15" s="270" t="str">
        <f t="shared" si="4"/>
        <v/>
      </c>
      <c r="AM15" s="270">
        <f t="shared" si="5"/>
        <v>0</v>
      </c>
      <c r="AN15" s="270" t="str">
        <f t="shared" si="6"/>
        <v/>
      </c>
      <c r="AO15" s="270">
        <f t="shared" si="7"/>
        <v>0</v>
      </c>
      <c r="AP15" s="270" t="str">
        <f t="shared" si="8"/>
        <v/>
      </c>
      <c r="AQ15" s="270">
        <f t="shared" si="9"/>
        <v>0</v>
      </c>
      <c r="AR15" s="270">
        <f t="shared" si="10"/>
        <v>0</v>
      </c>
      <c r="AS15" s="270">
        <f t="shared" si="11"/>
        <v>0</v>
      </c>
    </row>
    <row r="16" spans="1:45" s="48" customFormat="1">
      <c r="A16" s="146"/>
      <c r="B16" s="317"/>
      <c r="C16" s="411"/>
      <c r="D16" s="411"/>
      <c r="E16" s="411"/>
      <c r="F16" s="321"/>
      <c r="G16" s="465"/>
      <c r="H16" s="412"/>
      <c r="I16" s="411"/>
      <c r="J16" s="321"/>
      <c r="K16" s="272"/>
      <c r="L16" s="272"/>
      <c r="M16" s="272"/>
      <c r="N16" s="324"/>
      <c r="O16" s="411"/>
      <c r="P16" s="415"/>
      <c r="Q16" s="415"/>
      <c r="R16" s="274" t="str">
        <f>IF(ISERROR(IF(P16&gt;0,DATEDIF(P16,MIN(CAM!$D$4,Q16),"m"),"")),0,IF(P16&gt;0,DATEDIF(P16,MIN(CAM!$D$4,Q16),"m"),""))</f>
        <v/>
      </c>
      <c r="S16" s="274">
        <f t="shared" si="1"/>
        <v>0</v>
      </c>
      <c r="T16" s="411"/>
      <c r="U16" s="395"/>
      <c r="V16" s="399"/>
      <c r="W16" s="399"/>
      <c r="X16" s="399"/>
      <c r="Y16" s="399"/>
      <c r="Z16" s="399"/>
      <c r="AA16" s="399"/>
      <c r="AB16" s="399"/>
      <c r="AC16" s="67"/>
      <c r="AD16" s="290"/>
      <c r="AE16" s="290"/>
      <c r="AF16" s="290"/>
      <c r="AG16" s="290"/>
      <c r="AI16" s="270" t="str">
        <f t="shared" si="2"/>
        <v/>
      </c>
      <c r="AJ16" s="270" t="str">
        <f t="shared" si="3"/>
        <v/>
      </c>
      <c r="AK16" s="271">
        <f t="shared" si="12"/>
        <v>0</v>
      </c>
      <c r="AL16" s="270" t="str">
        <f t="shared" si="4"/>
        <v/>
      </c>
      <c r="AM16" s="270">
        <f t="shared" si="5"/>
        <v>0</v>
      </c>
      <c r="AN16" s="270" t="str">
        <f t="shared" si="6"/>
        <v/>
      </c>
      <c r="AO16" s="270">
        <f t="shared" si="7"/>
        <v>0</v>
      </c>
      <c r="AP16" s="270" t="str">
        <f t="shared" si="8"/>
        <v/>
      </c>
      <c r="AQ16" s="270">
        <f t="shared" si="9"/>
        <v>0</v>
      </c>
      <c r="AR16" s="270">
        <f t="shared" si="10"/>
        <v>0</v>
      </c>
      <c r="AS16" s="270">
        <f t="shared" si="11"/>
        <v>0</v>
      </c>
    </row>
    <row r="17" spans="1:45" s="48" customFormat="1">
      <c r="A17" s="146"/>
      <c r="B17" s="317"/>
      <c r="C17" s="411"/>
      <c r="D17" s="411"/>
      <c r="E17" s="411"/>
      <c r="F17" s="321"/>
      <c r="G17" s="465"/>
      <c r="H17" s="412"/>
      <c r="I17" s="411"/>
      <c r="J17" s="321"/>
      <c r="K17" s="272"/>
      <c r="L17" s="272"/>
      <c r="M17" s="272"/>
      <c r="N17" s="324"/>
      <c r="O17" s="411"/>
      <c r="P17" s="415"/>
      <c r="Q17" s="415"/>
      <c r="R17" s="274" t="str">
        <f>IF(ISERROR(IF(P17&gt;0,DATEDIF(P17,MIN(CAM!$D$4,Q17),"m"),"")),0,IF(P17&gt;0,DATEDIF(P17,MIN(CAM!$D$4,Q17),"m"),""))</f>
        <v/>
      </c>
      <c r="S17" s="274">
        <f t="shared" si="1"/>
        <v>0</v>
      </c>
      <c r="T17" s="411"/>
      <c r="U17" s="395"/>
      <c r="V17" s="399"/>
      <c r="W17" s="399"/>
      <c r="X17" s="399"/>
      <c r="Y17" s="399"/>
      <c r="Z17" s="399"/>
      <c r="AA17" s="399"/>
      <c r="AB17" s="399"/>
      <c r="AC17" s="399"/>
      <c r="AD17" s="290"/>
      <c r="AE17" s="290"/>
      <c r="AF17" s="290"/>
      <c r="AG17" s="290"/>
      <c r="AI17" s="270" t="str">
        <f t="shared" si="2"/>
        <v/>
      </c>
      <c r="AJ17" s="270" t="str">
        <f t="shared" si="3"/>
        <v/>
      </c>
      <c r="AK17" s="271">
        <f t="shared" si="12"/>
        <v>0</v>
      </c>
      <c r="AL17" s="270" t="str">
        <f t="shared" si="4"/>
        <v/>
      </c>
      <c r="AM17" s="270">
        <f t="shared" si="5"/>
        <v>0</v>
      </c>
      <c r="AN17" s="270" t="str">
        <f t="shared" si="6"/>
        <v/>
      </c>
      <c r="AO17" s="270">
        <f t="shared" si="7"/>
        <v>0</v>
      </c>
      <c r="AP17" s="270" t="str">
        <f t="shared" si="8"/>
        <v/>
      </c>
      <c r="AQ17" s="270">
        <f t="shared" si="9"/>
        <v>0</v>
      </c>
      <c r="AR17" s="270">
        <f t="shared" si="10"/>
        <v>0</v>
      </c>
      <c r="AS17" s="270">
        <f t="shared" si="11"/>
        <v>0</v>
      </c>
    </row>
    <row r="18" spans="1:45" s="48" customFormat="1">
      <c r="A18" s="146"/>
      <c r="B18" s="317"/>
      <c r="C18" s="411"/>
      <c r="D18" s="411"/>
      <c r="E18" s="411"/>
      <c r="F18" s="321"/>
      <c r="G18" s="465"/>
      <c r="H18" s="412"/>
      <c r="I18" s="411"/>
      <c r="J18" s="321"/>
      <c r="K18" s="272"/>
      <c r="L18" s="272"/>
      <c r="M18" s="272"/>
      <c r="N18" s="324"/>
      <c r="O18" s="411"/>
      <c r="P18" s="415"/>
      <c r="Q18" s="415"/>
      <c r="R18" s="274" t="str">
        <f>IF(ISERROR(IF(P18&gt;0,DATEDIF(P18,MIN(CAM!$D$4,Q18),"m"),"")),0,IF(P18&gt;0,DATEDIF(P18,MIN(CAM!$D$4,Q18),"m"),""))</f>
        <v/>
      </c>
      <c r="S18" s="274">
        <f t="shared" si="1"/>
        <v>0</v>
      </c>
      <c r="T18" s="411"/>
      <c r="U18" s="395"/>
      <c r="V18" s="399"/>
      <c r="W18" s="399"/>
      <c r="X18" s="399"/>
      <c r="Y18" s="399"/>
      <c r="Z18" s="399"/>
      <c r="AA18" s="399"/>
      <c r="AB18" s="399"/>
      <c r="AC18" s="67"/>
      <c r="AD18" s="290"/>
      <c r="AE18" s="290"/>
      <c r="AF18" s="290"/>
      <c r="AG18" s="290"/>
      <c r="AI18" s="270" t="str">
        <f t="shared" si="2"/>
        <v/>
      </c>
      <c r="AJ18" s="270" t="str">
        <f t="shared" si="3"/>
        <v/>
      </c>
      <c r="AK18" s="271">
        <f t="shared" si="12"/>
        <v>0</v>
      </c>
      <c r="AL18" s="270" t="str">
        <f t="shared" si="4"/>
        <v/>
      </c>
      <c r="AM18" s="270">
        <f t="shared" si="5"/>
        <v>0</v>
      </c>
      <c r="AN18" s="270" t="str">
        <f t="shared" si="6"/>
        <v/>
      </c>
      <c r="AO18" s="270">
        <f t="shared" si="7"/>
        <v>0</v>
      </c>
      <c r="AP18" s="270" t="str">
        <f t="shared" si="8"/>
        <v/>
      </c>
      <c r="AQ18" s="270">
        <f t="shared" si="9"/>
        <v>0</v>
      </c>
      <c r="AR18" s="270">
        <f t="shared" si="10"/>
        <v>0</v>
      </c>
      <c r="AS18" s="270">
        <f t="shared" si="11"/>
        <v>0</v>
      </c>
    </row>
    <row r="19" spans="1:45" s="48" customFormat="1">
      <c r="A19" s="146"/>
      <c r="B19" s="317"/>
      <c r="C19" s="411"/>
      <c r="D19" s="411"/>
      <c r="E19" s="411"/>
      <c r="F19" s="321"/>
      <c r="G19" s="465"/>
      <c r="H19" s="412"/>
      <c r="I19" s="411"/>
      <c r="J19" s="321"/>
      <c r="K19" s="272"/>
      <c r="L19" s="272"/>
      <c r="M19" s="272"/>
      <c r="N19" s="324"/>
      <c r="O19" s="411"/>
      <c r="P19" s="415"/>
      <c r="Q19" s="415"/>
      <c r="R19" s="274" t="str">
        <f>IF(ISERROR(IF(P19&gt;0,DATEDIF(P19,MIN(CAM!$D$4,Q19),"m"),"")),0,IF(P19&gt;0,DATEDIF(P19,MIN(CAM!$D$4,Q19),"m"),""))</f>
        <v/>
      </c>
      <c r="S19" s="274">
        <f t="shared" si="1"/>
        <v>0</v>
      </c>
      <c r="T19" s="411"/>
      <c r="U19" s="395"/>
      <c r="V19" s="399"/>
      <c r="W19" s="399"/>
      <c r="X19" s="399"/>
      <c r="Y19" s="399"/>
      <c r="Z19" s="399"/>
      <c r="AA19" s="399"/>
      <c r="AB19" s="399"/>
      <c r="AC19" s="399"/>
      <c r="AD19" s="290"/>
      <c r="AE19" s="290"/>
      <c r="AF19" s="290"/>
      <c r="AG19" s="290"/>
      <c r="AI19" s="270" t="str">
        <f t="shared" si="2"/>
        <v/>
      </c>
      <c r="AJ19" s="270" t="str">
        <f t="shared" si="3"/>
        <v/>
      </c>
      <c r="AK19" s="271">
        <f t="shared" si="12"/>
        <v>0</v>
      </c>
      <c r="AL19" s="270" t="str">
        <f t="shared" si="4"/>
        <v/>
      </c>
      <c r="AM19" s="270">
        <f t="shared" si="5"/>
        <v>0</v>
      </c>
      <c r="AN19" s="270" t="str">
        <f t="shared" si="6"/>
        <v/>
      </c>
      <c r="AO19" s="270">
        <f t="shared" si="7"/>
        <v>0</v>
      </c>
      <c r="AP19" s="270" t="str">
        <f t="shared" si="8"/>
        <v/>
      </c>
      <c r="AQ19" s="270">
        <f t="shared" si="9"/>
        <v>0</v>
      </c>
      <c r="AR19" s="270">
        <f t="shared" si="10"/>
        <v>0</v>
      </c>
      <c r="AS19" s="270">
        <f t="shared" si="11"/>
        <v>0</v>
      </c>
    </row>
    <row r="20" spans="1:45" s="48" customFormat="1">
      <c r="A20" s="146"/>
      <c r="B20" s="317"/>
      <c r="C20" s="411"/>
      <c r="D20" s="411"/>
      <c r="E20" s="411"/>
      <c r="F20" s="321"/>
      <c r="G20" s="465"/>
      <c r="H20" s="412"/>
      <c r="I20" s="411"/>
      <c r="J20" s="321"/>
      <c r="K20" s="272"/>
      <c r="L20" s="272"/>
      <c r="M20" s="419"/>
      <c r="N20" s="324"/>
      <c r="O20" s="411"/>
      <c r="P20" s="415"/>
      <c r="Q20" s="415"/>
      <c r="R20" s="274" t="str">
        <f>IF(ISERROR(IF(P20&gt;0,DATEDIF(P20,MIN(CAM!$D$4,Q20),"m"),"")),0,IF(P20&gt;0,DATEDIF(P20,MIN(CAM!$D$4,Q20),"m"),""))</f>
        <v/>
      </c>
      <c r="S20" s="274">
        <f t="shared" si="1"/>
        <v>0</v>
      </c>
      <c r="T20" s="411"/>
      <c r="U20" s="395"/>
      <c r="V20" s="399"/>
      <c r="W20" s="399"/>
      <c r="X20" s="399"/>
      <c r="Y20" s="399"/>
      <c r="Z20" s="399"/>
      <c r="AA20" s="399"/>
      <c r="AB20" s="399"/>
      <c r="AC20" s="290"/>
      <c r="AD20" s="290"/>
      <c r="AE20" s="290"/>
      <c r="AF20" s="290"/>
      <c r="AG20" s="290"/>
      <c r="AI20" s="270" t="str">
        <f t="shared" si="2"/>
        <v/>
      </c>
      <c r="AJ20" s="270" t="str">
        <f t="shared" si="3"/>
        <v/>
      </c>
      <c r="AK20" s="271">
        <f t="shared" si="12"/>
        <v>0</v>
      </c>
      <c r="AL20" s="270" t="str">
        <f t="shared" si="4"/>
        <v/>
      </c>
      <c r="AM20" s="270">
        <f t="shared" si="5"/>
        <v>0</v>
      </c>
      <c r="AN20" s="270" t="str">
        <f t="shared" si="6"/>
        <v/>
      </c>
      <c r="AO20" s="270">
        <f t="shared" si="7"/>
        <v>0</v>
      </c>
      <c r="AP20" s="270" t="str">
        <f t="shared" si="8"/>
        <v/>
      </c>
      <c r="AQ20" s="270">
        <f t="shared" si="9"/>
        <v>0</v>
      </c>
      <c r="AR20" s="270">
        <f t="shared" si="10"/>
        <v>0</v>
      </c>
      <c r="AS20" s="270">
        <f t="shared" si="11"/>
        <v>0</v>
      </c>
    </row>
    <row r="21" spans="1:45" s="48" customFormat="1">
      <c r="A21" s="146"/>
      <c r="B21" s="317"/>
      <c r="C21" s="411"/>
      <c r="D21" s="411"/>
      <c r="E21" s="411"/>
      <c r="F21" s="321"/>
      <c r="G21" s="465"/>
      <c r="H21" s="412"/>
      <c r="I21" s="411"/>
      <c r="J21" s="321"/>
      <c r="K21" s="272"/>
      <c r="L21" s="272"/>
      <c r="M21" s="272"/>
      <c r="N21" s="324"/>
      <c r="O21" s="411"/>
      <c r="P21" s="415"/>
      <c r="Q21" s="415"/>
      <c r="R21" s="274" t="str">
        <f>IF(ISERROR(IF(P21&gt;0,DATEDIF(P21,MIN(CAM!$D$4,Q21),"m"),"")),0,IF(P21&gt;0,DATEDIF(P21,MIN(CAM!$D$4,Q21),"m"),""))</f>
        <v/>
      </c>
      <c r="S21" s="274">
        <f t="shared" si="1"/>
        <v>0</v>
      </c>
      <c r="T21" s="411"/>
      <c r="U21" s="395"/>
      <c r="V21" s="399"/>
      <c r="W21" s="399"/>
      <c r="X21" s="399"/>
      <c r="Y21" s="399"/>
      <c r="Z21" s="399"/>
      <c r="AA21" s="399"/>
      <c r="AB21" s="399"/>
      <c r="AC21" s="67"/>
      <c r="AD21" s="290"/>
      <c r="AE21" s="290"/>
      <c r="AF21" s="290"/>
      <c r="AG21" s="290"/>
      <c r="AI21" s="270" t="str">
        <f t="shared" si="2"/>
        <v/>
      </c>
      <c r="AJ21" s="270" t="str">
        <f t="shared" si="3"/>
        <v/>
      </c>
      <c r="AK21" s="271">
        <f t="shared" si="12"/>
        <v>0</v>
      </c>
      <c r="AL21" s="270" t="str">
        <f t="shared" si="4"/>
        <v/>
      </c>
      <c r="AM21" s="270">
        <f t="shared" si="5"/>
        <v>0</v>
      </c>
      <c r="AN21" s="270" t="str">
        <f t="shared" si="6"/>
        <v/>
      </c>
      <c r="AO21" s="270">
        <f t="shared" si="7"/>
        <v>0</v>
      </c>
      <c r="AP21" s="270" t="str">
        <f t="shared" si="8"/>
        <v/>
      </c>
      <c r="AQ21" s="270">
        <f t="shared" si="9"/>
        <v>0</v>
      </c>
      <c r="AR21" s="270">
        <f t="shared" si="10"/>
        <v>0</v>
      </c>
      <c r="AS21" s="270">
        <f t="shared" si="11"/>
        <v>0</v>
      </c>
    </row>
    <row r="22" spans="1:45" s="48" customFormat="1">
      <c r="A22" s="146"/>
      <c r="B22" s="317"/>
      <c r="C22" s="411"/>
      <c r="D22" s="411"/>
      <c r="E22" s="411"/>
      <c r="F22" s="321"/>
      <c r="G22" s="465"/>
      <c r="H22" s="412"/>
      <c r="I22" s="411"/>
      <c r="J22" s="321"/>
      <c r="K22" s="272"/>
      <c r="L22" s="272"/>
      <c r="M22" s="272"/>
      <c r="N22" s="324"/>
      <c r="O22" s="411"/>
      <c r="P22" s="415"/>
      <c r="Q22" s="415"/>
      <c r="R22" s="274" t="str">
        <f>IF(ISERROR(IF(P22&gt;0,DATEDIF(P22,MIN(CAM!$D$4,Q22),"m"),"")),0,IF(P22&gt;0,DATEDIF(P22,MIN(CAM!$D$4,Q22),"m"),""))</f>
        <v/>
      </c>
      <c r="S22" s="274">
        <f t="shared" si="1"/>
        <v>0</v>
      </c>
      <c r="T22" s="411"/>
      <c r="U22" s="395"/>
      <c r="V22" s="398"/>
      <c r="W22" s="398"/>
      <c r="X22" s="67"/>
      <c r="Y22" s="290"/>
      <c r="Z22" s="290"/>
      <c r="AA22" s="290"/>
      <c r="AB22" s="290"/>
      <c r="AC22" s="290"/>
      <c r="AD22" s="67"/>
      <c r="AE22" s="67"/>
      <c r="AF22" s="67"/>
      <c r="AG22" s="67"/>
      <c r="AI22" s="270" t="str">
        <f t="shared" si="2"/>
        <v/>
      </c>
      <c r="AJ22" s="270" t="str">
        <f t="shared" si="3"/>
        <v/>
      </c>
      <c r="AK22" s="271">
        <f t="shared" si="12"/>
        <v>0</v>
      </c>
      <c r="AL22" s="270" t="str">
        <f t="shared" si="4"/>
        <v/>
      </c>
      <c r="AM22" s="270">
        <f t="shared" si="5"/>
        <v>0</v>
      </c>
      <c r="AN22" s="270" t="str">
        <f t="shared" si="6"/>
        <v/>
      </c>
      <c r="AO22" s="270">
        <f t="shared" si="7"/>
        <v>0</v>
      </c>
      <c r="AP22" s="270" t="str">
        <f t="shared" si="8"/>
        <v/>
      </c>
      <c r="AQ22" s="270">
        <f t="shared" si="9"/>
        <v>0</v>
      </c>
      <c r="AR22" s="270">
        <f t="shared" si="10"/>
        <v>0</v>
      </c>
      <c r="AS22" s="270">
        <f t="shared" si="11"/>
        <v>0</v>
      </c>
    </row>
    <row r="23" spans="1:45" s="48" customFormat="1">
      <c r="A23" s="146"/>
      <c r="B23" s="317"/>
      <c r="C23" s="411"/>
      <c r="D23" s="411"/>
      <c r="E23" s="411"/>
      <c r="F23" s="321"/>
      <c r="G23" s="465"/>
      <c r="H23" s="412"/>
      <c r="I23" s="411"/>
      <c r="J23" s="321"/>
      <c r="K23" s="272"/>
      <c r="L23" s="272"/>
      <c r="M23" s="272"/>
      <c r="N23" s="324"/>
      <c r="O23" s="411"/>
      <c r="P23" s="415"/>
      <c r="Q23" s="415"/>
      <c r="R23" s="274" t="str">
        <f>IF(ISERROR(IF(P23&gt;0,DATEDIF(P23,MIN(CAM!$D$4,Q23),"m"),"")),0,IF(P23&gt;0,DATEDIF(P23,MIN(CAM!$D$4,Q23),"m"),""))</f>
        <v/>
      </c>
      <c r="S23" s="274">
        <f t="shared" si="1"/>
        <v>0</v>
      </c>
      <c r="T23" s="411"/>
      <c r="U23" s="395"/>
      <c r="V23" s="399"/>
      <c r="W23" s="399"/>
      <c r="X23" s="399"/>
      <c r="Y23" s="399"/>
      <c r="Z23" s="399"/>
      <c r="AA23" s="399"/>
      <c r="AB23" s="399"/>
      <c r="AC23" s="399"/>
      <c r="AD23" s="67"/>
      <c r="AE23" s="67"/>
      <c r="AF23" s="67"/>
      <c r="AG23" s="67"/>
      <c r="AI23" s="270" t="str">
        <f t="shared" si="2"/>
        <v/>
      </c>
      <c r="AJ23" s="270" t="str">
        <f t="shared" si="3"/>
        <v/>
      </c>
      <c r="AK23" s="271">
        <f t="shared" si="12"/>
        <v>0</v>
      </c>
      <c r="AL23" s="270" t="str">
        <f t="shared" si="4"/>
        <v/>
      </c>
      <c r="AM23" s="270">
        <f t="shared" si="5"/>
        <v>0</v>
      </c>
      <c r="AN23" s="270" t="str">
        <f t="shared" si="6"/>
        <v/>
      </c>
      <c r="AO23" s="270">
        <f t="shared" si="7"/>
        <v>0</v>
      </c>
      <c r="AP23" s="270" t="str">
        <f t="shared" si="8"/>
        <v/>
      </c>
      <c r="AQ23" s="270">
        <f t="shared" si="9"/>
        <v>0</v>
      </c>
      <c r="AR23" s="270">
        <f t="shared" si="10"/>
        <v>0</v>
      </c>
      <c r="AS23" s="270">
        <f t="shared" si="11"/>
        <v>0</v>
      </c>
    </row>
    <row r="24" spans="1:45" s="48" customFormat="1">
      <c r="A24" s="146"/>
      <c r="B24" s="317"/>
      <c r="C24" s="411"/>
      <c r="D24" s="411"/>
      <c r="E24" s="411"/>
      <c r="F24" s="321"/>
      <c r="G24" s="465"/>
      <c r="H24" s="412"/>
      <c r="I24" s="411"/>
      <c r="J24" s="321"/>
      <c r="K24" s="272"/>
      <c r="L24" s="272"/>
      <c r="M24" s="272"/>
      <c r="N24" s="324"/>
      <c r="O24" s="411"/>
      <c r="P24" s="415"/>
      <c r="Q24" s="415"/>
      <c r="R24" s="274" t="str">
        <f>IF(ISERROR(IF(P24&gt;0,DATEDIF(P24,MIN(CAM!$D$4,Q24),"m"),"")),0,IF(P24&gt;0,DATEDIF(P24,MIN(CAM!$D$4,Q24),"m"),""))</f>
        <v/>
      </c>
      <c r="S24" s="274">
        <f t="shared" si="1"/>
        <v>0</v>
      </c>
      <c r="T24" s="411"/>
      <c r="U24" s="395"/>
      <c r="V24" s="399"/>
      <c r="W24" s="399"/>
      <c r="X24" s="399"/>
      <c r="Y24" s="399"/>
      <c r="Z24" s="399"/>
      <c r="AA24" s="399"/>
      <c r="AB24" s="399"/>
      <c r="AC24" s="399"/>
      <c r="AD24" s="67"/>
      <c r="AE24" s="67"/>
      <c r="AF24" s="67"/>
      <c r="AG24" s="67"/>
      <c r="AI24" s="270" t="str">
        <f t="shared" si="2"/>
        <v/>
      </c>
      <c r="AJ24" s="270" t="str">
        <f t="shared" si="3"/>
        <v/>
      </c>
      <c r="AK24" s="271">
        <f t="shared" si="12"/>
        <v>0</v>
      </c>
      <c r="AL24" s="270" t="str">
        <f t="shared" si="4"/>
        <v/>
      </c>
      <c r="AM24" s="270">
        <f t="shared" si="5"/>
        <v>0</v>
      </c>
      <c r="AN24" s="270" t="str">
        <f t="shared" si="6"/>
        <v/>
      </c>
      <c r="AO24" s="270">
        <f t="shared" si="7"/>
        <v>0</v>
      </c>
      <c r="AP24" s="270" t="str">
        <f t="shared" si="8"/>
        <v/>
      </c>
      <c r="AQ24" s="270">
        <f t="shared" si="9"/>
        <v>0</v>
      </c>
      <c r="AR24" s="270">
        <f t="shared" si="10"/>
        <v>0</v>
      </c>
      <c r="AS24" s="270">
        <f t="shared" si="11"/>
        <v>0</v>
      </c>
    </row>
    <row r="25" spans="1:45" s="48" customFormat="1">
      <c r="A25" s="146"/>
      <c r="B25" s="317"/>
      <c r="C25" s="411"/>
      <c r="D25" s="411"/>
      <c r="E25" s="411"/>
      <c r="F25" s="321"/>
      <c r="G25" s="465"/>
      <c r="H25" s="412"/>
      <c r="I25" s="411"/>
      <c r="J25" s="321"/>
      <c r="K25" s="272"/>
      <c r="L25" s="272"/>
      <c r="M25" s="272"/>
      <c r="N25" s="324"/>
      <c r="O25" s="411"/>
      <c r="P25" s="415"/>
      <c r="Q25" s="415"/>
      <c r="R25" s="274" t="str">
        <f>IF(ISERROR(IF(P25&gt;0,DATEDIF(P25,MIN(CAM!$D$4,Q25),"m"),"")),0,IF(P25&gt;0,DATEDIF(P25,MIN(CAM!$D$4,Q25),"m"),""))</f>
        <v/>
      </c>
      <c r="S25" s="274">
        <f t="shared" si="1"/>
        <v>0</v>
      </c>
      <c r="T25" s="411"/>
      <c r="U25" s="395"/>
      <c r="V25" s="399"/>
      <c r="W25" s="399"/>
      <c r="X25" s="399"/>
      <c r="Y25" s="399"/>
      <c r="Z25" s="399"/>
      <c r="AA25" s="399"/>
      <c r="AB25" s="399"/>
      <c r="AC25" s="399"/>
      <c r="AD25" s="67"/>
      <c r="AE25" s="67"/>
      <c r="AF25" s="67"/>
      <c r="AG25" s="67"/>
      <c r="AI25" s="270" t="str">
        <f t="shared" si="2"/>
        <v/>
      </c>
      <c r="AJ25" s="270" t="str">
        <f t="shared" si="3"/>
        <v/>
      </c>
      <c r="AK25" s="271">
        <f t="shared" si="12"/>
        <v>0</v>
      </c>
      <c r="AL25" s="270" t="str">
        <f t="shared" si="4"/>
        <v/>
      </c>
      <c r="AM25" s="270">
        <f t="shared" si="5"/>
        <v>0</v>
      </c>
      <c r="AN25" s="270" t="str">
        <f t="shared" si="6"/>
        <v/>
      </c>
      <c r="AO25" s="270">
        <f t="shared" si="7"/>
        <v>0</v>
      </c>
      <c r="AP25" s="270" t="str">
        <f t="shared" si="8"/>
        <v/>
      </c>
      <c r="AQ25" s="270">
        <f t="shared" si="9"/>
        <v>0</v>
      </c>
      <c r="AR25" s="270">
        <f t="shared" si="10"/>
        <v>0</v>
      </c>
      <c r="AS25" s="270">
        <f t="shared" si="11"/>
        <v>0</v>
      </c>
    </row>
    <row r="26" spans="1:45" s="48" customFormat="1">
      <c r="A26" s="146"/>
      <c r="B26" s="317"/>
      <c r="C26" s="411"/>
      <c r="D26" s="411"/>
      <c r="E26" s="411"/>
      <c r="F26" s="321"/>
      <c r="G26" s="465"/>
      <c r="H26" s="412"/>
      <c r="I26" s="411"/>
      <c r="J26" s="321"/>
      <c r="K26" s="272"/>
      <c r="L26" s="272"/>
      <c r="M26" s="272"/>
      <c r="N26" s="324"/>
      <c r="O26" s="411"/>
      <c r="P26" s="415"/>
      <c r="Q26" s="415"/>
      <c r="R26" s="274" t="str">
        <f>IF(ISERROR(IF(P26&gt;0,DATEDIF(P26,MIN(CAM!$D$4,Q26),"m"),"")),0,IF(P26&gt;0,DATEDIF(P26,MIN(CAM!$D$4,Q26),"m"),""))</f>
        <v/>
      </c>
      <c r="S26" s="274">
        <f t="shared" si="1"/>
        <v>0</v>
      </c>
      <c r="T26" s="411"/>
      <c r="U26" s="395"/>
      <c r="V26" s="399"/>
      <c r="W26" s="399"/>
      <c r="X26" s="399"/>
      <c r="Y26" s="399"/>
      <c r="Z26" s="399"/>
      <c r="AA26" s="399"/>
      <c r="AB26" s="399"/>
      <c r="AC26" s="399"/>
      <c r="AD26" s="67"/>
      <c r="AE26" s="67"/>
      <c r="AF26" s="67"/>
      <c r="AG26" s="67"/>
      <c r="AI26" s="270" t="str">
        <f t="shared" si="2"/>
        <v/>
      </c>
      <c r="AJ26" s="270" t="str">
        <f t="shared" si="3"/>
        <v/>
      </c>
      <c r="AK26" s="271">
        <f t="shared" si="12"/>
        <v>0</v>
      </c>
      <c r="AL26" s="270" t="str">
        <f t="shared" si="4"/>
        <v/>
      </c>
      <c r="AM26" s="270">
        <f t="shared" si="5"/>
        <v>0</v>
      </c>
      <c r="AN26" s="270" t="str">
        <f t="shared" si="6"/>
        <v/>
      </c>
      <c r="AO26" s="270">
        <f t="shared" si="7"/>
        <v>0</v>
      </c>
      <c r="AP26" s="270" t="str">
        <f t="shared" si="8"/>
        <v/>
      </c>
      <c r="AQ26" s="270">
        <f t="shared" si="9"/>
        <v>0</v>
      </c>
      <c r="AR26" s="270">
        <f t="shared" si="10"/>
        <v>0</v>
      </c>
      <c r="AS26" s="270">
        <f t="shared" si="11"/>
        <v>0</v>
      </c>
    </row>
    <row r="27" spans="1:45" s="48" customFormat="1">
      <c r="A27" s="146"/>
      <c r="B27" s="317"/>
      <c r="C27" s="395"/>
      <c r="D27" s="395"/>
      <c r="E27" s="411"/>
      <c r="F27" s="321"/>
      <c r="G27" s="466"/>
      <c r="H27" s="397"/>
      <c r="I27" s="420"/>
      <c r="J27" s="321"/>
      <c r="K27" s="397"/>
      <c r="L27" s="272"/>
      <c r="M27" s="272"/>
      <c r="N27" s="324"/>
      <c r="O27" s="411"/>
      <c r="P27" s="396"/>
      <c r="Q27" s="396"/>
      <c r="R27" s="274" t="str">
        <f>IF(ISERROR(IF(P27&gt;0,DATEDIF(P27,MIN(CAM!$D$4,Q27),"m"),"")),0,IF(P27&gt;0,DATEDIF(P27,MIN(CAM!$D$4,Q27),"m"),""))</f>
        <v/>
      </c>
      <c r="S27" s="274">
        <f t="shared" si="1"/>
        <v>0</v>
      </c>
      <c r="T27" s="326"/>
      <c r="U27" s="395"/>
      <c r="V27" s="398"/>
      <c r="W27" s="398"/>
      <c r="X27" s="398"/>
      <c r="Y27" s="398"/>
      <c r="Z27" s="398"/>
      <c r="AA27" s="398"/>
      <c r="AB27" s="398"/>
      <c r="AC27" s="398"/>
      <c r="AD27" s="67"/>
      <c r="AE27" s="67"/>
      <c r="AF27" s="67"/>
      <c r="AG27" s="67"/>
      <c r="AI27" s="270" t="str">
        <f t="shared" si="2"/>
        <v/>
      </c>
      <c r="AJ27" s="270" t="str">
        <f t="shared" si="3"/>
        <v/>
      </c>
      <c r="AK27" s="271">
        <f t="shared" si="12"/>
        <v>0</v>
      </c>
      <c r="AL27" s="270" t="str">
        <f t="shared" si="4"/>
        <v/>
      </c>
      <c r="AM27" s="270">
        <f t="shared" si="5"/>
        <v>0</v>
      </c>
      <c r="AN27" s="270" t="str">
        <f t="shared" si="6"/>
        <v/>
      </c>
      <c r="AO27" s="270">
        <f t="shared" si="7"/>
        <v>0</v>
      </c>
      <c r="AP27" s="270" t="str">
        <f t="shared" si="8"/>
        <v/>
      </c>
      <c r="AQ27" s="270">
        <f t="shared" si="9"/>
        <v>0</v>
      </c>
      <c r="AR27" s="270">
        <f t="shared" si="10"/>
        <v>0</v>
      </c>
      <c r="AS27" s="270">
        <f t="shared" si="11"/>
        <v>0</v>
      </c>
    </row>
    <row r="28" spans="1:45" s="48" customFormat="1">
      <c r="A28" s="146"/>
      <c r="B28" s="317"/>
      <c r="C28" s="395"/>
      <c r="D28" s="395"/>
      <c r="E28" s="411"/>
      <c r="F28" s="321"/>
      <c r="G28" s="466"/>
      <c r="H28" s="397"/>
      <c r="I28" s="420"/>
      <c r="J28" s="321"/>
      <c r="K28" s="272"/>
      <c r="L28" s="272"/>
      <c r="M28" s="272"/>
      <c r="N28" s="324"/>
      <c r="O28" s="411"/>
      <c r="P28" s="396"/>
      <c r="Q28" s="396"/>
      <c r="R28" s="274" t="str">
        <f>IF(ISERROR(IF(P28&gt;0,DATEDIF(P28,MIN(CAM!$D$4,Q28),"m"),"")),0,IF(P28&gt;0,DATEDIF(P28,MIN(CAM!$D$4,Q28),"m"),""))</f>
        <v/>
      </c>
      <c r="S28" s="274">
        <f t="shared" si="1"/>
        <v>0</v>
      </c>
      <c r="T28" s="326"/>
      <c r="U28" s="395"/>
      <c r="V28" s="398"/>
      <c r="W28" s="398"/>
      <c r="X28" s="398"/>
      <c r="Y28" s="398"/>
      <c r="Z28" s="398"/>
      <c r="AA28" s="398"/>
      <c r="AB28" s="398"/>
      <c r="AC28" s="398"/>
      <c r="AD28" s="67"/>
      <c r="AE28" s="67"/>
      <c r="AF28" s="67"/>
      <c r="AG28" s="67"/>
      <c r="AI28" s="270" t="str">
        <f t="shared" si="2"/>
        <v/>
      </c>
      <c r="AJ28" s="270" t="str">
        <f t="shared" si="3"/>
        <v/>
      </c>
      <c r="AK28" s="271">
        <f t="shared" si="12"/>
        <v>0</v>
      </c>
      <c r="AL28" s="270" t="str">
        <f t="shared" si="4"/>
        <v/>
      </c>
      <c r="AM28" s="270">
        <f t="shared" si="5"/>
        <v>0</v>
      </c>
      <c r="AN28" s="270" t="str">
        <f t="shared" si="6"/>
        <v/>
      </c>
      <c r="AO28" s="270">
        <f t="shared" si="7"/>
        <v>0</v>
      </c>
      <c r="AP28" s="270" t="str">
        <f t="shared" si="8"/>
        <v/>
      </c>
      <c r="AQ28" s="270">
        <f t="shared" si="9"/>
        <v>0</v>
      </c>
      <c r="AR28" s="270">
        <f t="shared" si="10"/>
        <v>0</v>
      </c>
      <c r="AS28" s="270">
        <f t="shared" si="11"/>
        <v>0</v>
      </c>
    </row>
    <row r="29" spans="1:45" s="48" customFormat="1">
      <c r="A29" s="146"/>
      <c r="B29" s="317"/>
      <c r="C29" s="395"/>
      <c r="D29" s="395"/>
      <c r="E29" s="411"/>
      <c r="F29" s="321"/>
      <c r="G29" s="466"/>
      <c r="H29" s="397"/>
      <c r="I29" s="420"/>
      <c r="J29" s="321"/>
      <c r="K29" s="272"/>
      <c r="L29" s="272"/>
      <c r="M29" s="272"/>
      <c r="N29" s="324"/>
      <c r="O29" s="411"/>
      <c r="P29" s="396"/>
      <c r="Q29" s="396"/>
      <c r="R29" s="274" t="str">
        <f>IF(ISERROR(IF(P29&gt;0,DATEDIF(P29,MIN(CAM!$D$4,Q29),"m"),"")),0,IF(P29&gt;0,DATEDIF(P29,MIN(CAM!$D$4,Q29),"m"),""))</f>
        <v/>
      </c>
      <c r="S29" s="274">
        <f t="shared" si="1"/>
        <v>0</v>
      </c>
      <c r="T29" s="326"/>
      <c r="U29" s="395"/>
      <c r="V29" s="398"/>
      <c r="W29" s="398"/>
      <c r="X29" s="398"/>
      <c r="Y29" s="398"/>
      <c r="Z29" s="398"/>
      <c r="AA29" s="398"/>
      <c r="AB29" s="398"/>
      <c r="AC29" s="398"/>
      <c r="AD29" s="67"/>
      <c r="AE29" s="67"/>
      <c r="AF29" s="67"/>
      <c r="AG29" s="67"/>
      <c r="AI29" s="270" t="str">
        <f t="shared" si="2"/>
        <v/>
      </c>
      <c r="AJ29" s="270" t="str">
        <f t="shared" si="3"/>
        <v/>
      </c>
      <c r="AK29" s="271">
        <f t="shared" si="12"/>
        <v>0</v>
      </c>
      <c r="AL29" s="270" t="str">
        <f t="shared" si="4"/>
        <v/>
      </c>
      <c r="AM29" s="270">
        <f t="shared" si="5"/>
        <v>0</v>
      </c>
      <c r="AN29" s="270" t="str">
        <f t="shared" si="6"/>
        <v/>
      </c>
      <c r="AO29" s="270">
        <f t="shared" si="7"/>
        <v>0</v>
      </c>
      <c r="AP29" s="270" t="str">
        <f t="shared" si="8"/>
        <v/>
      </c>
      <c r="AQ29" s="270">
        <f t="shared" si="9"/>
        <v>0</v>
      </c>
      <c r="AR29" s="270">
        <f t="shared" si="10"/>
        <v>0</v>
      </c>
      <c r="AS29" s="270">
        <f t="shared" si="11"/>
        <v>0</v>
      </c>
    </row>
    <row r="30" spans="1:45" s="48" customFormat="1">
      <c r="A30" s="146"/>
      <c r="B30" s="317"/>
      <c r="C30" s="395"/>
      <c r="D30" s="411"/>
      <c r="E30" s="411"/>
      <c r="F30" s="321"/>
      <c r="G30" s="466"/>
      <c r="H30" s="397"/>
      <c r="I30" s="420"/>
      <c r="J30" s="321"/>
      <c r="K30" s="272"/>
      <c r="L30" s="272"/>
      <c r="M30" s="272"/>
      <c r="N30" s="324"/>
      <c r="O30" s="411"/>
      <c r="P30" s="396"/>
      <c r="Q30" s="396"/>
      <c r="R30" s="274" t="str">
        <f>IF(ISERROR(IF(P30&gt;0,DATEDIF(P30,MIN(CAM!$D$4,Q30),"m"),"")),0,IF(P30&gt;0,DATEDIF(P30,MIN(CAM!$D$4,Q30),"m"),""))</f>
        <v/>
      </c>
      <c r="S30" s="274">
        <f t="shared" si="1"/>
        <v>0</v>
      </c>
      <c r="T30" s="326"/>
      <c r="U30" s="395"/>
      <c r="V30" s="398"/>
      <c r="W30" s="398"/>
      <c r="X30" s="398"/>
      <c r="Y30" s="398"/>
      <c r="Z30" s="398"/>
      <c r="AA30" s="398"/>
      <c r="AB30" s="398"/>
      <c r="AC30" s="67"/>
      <c r="AD30" s="67"/>
      <c r="AE30" s="67"/>
      <c r="AF30" s="67"/>
      <c r="AG30" s="67"/>
      <c r="AI30" s="270" t="str">
        <f t="shared" si="2"/>
        <v/>
      </c>
      <c r="AJ30" s="270" t="str">
        <f t="shared" si="3"/>
        <v/>
      </c>
      <c r="AK30" s="271">
        <f t="shared" si="12"/>
        <v>0</v>
      </c>
      <c r="AL30" s="270" t="str">
        <f t="shared" si="4"/>
        <v/>
      </c>
      <c r="AM30" s="270">
        <f t="shared" si="5"/>
        <v>0</v>
      </c>
      <c r="AN30" s="270" t="str">
        <f t="shared" si="6"/>
        <v/>
      </c>
      <c r="AO30" s="270">
        <f t="shared" si="7"/>
        <v>0</v>
      </c>
      <c r="AP30" s="270" t="str">
        <f t="shared" si="8"/>
        <v/>
      </c>
      <c r="AQ30" s="270">
        <f t="shared" si="9"/>
        <v>0</v>
      </c>
      <c r="AR30" s="270">
        <f t="shared" si="10"/>
        <v>0</v>
      </c>
      <c r="AS30" s="270">
        <f t="shared" si="11"/>
        <v>0</v>
      </c>
    </row>
    <row r="31" spans="1:45" s="48" customFormat="1">
      <c r="A31" s="146"/>
      <c r="B31" s="317"/>
      <c r="C31" s="395"/>
      <c r="D31" s="395"/>
      <c r="E31" s="411"/>
      <c r="F31" s="321"/>
      <c r="G31" s="467"/>
      <c r="H31" s="272"/>
      <c r="I31" s="421"/>
      <c r="J31" s="321"/>
      <c r="K31" s="272"/>
      <c r="L31" s="272"/>
      <c r="M31" s="272"/>
      <c r="N31" s="324"/>
      <c r="O31" s="411"/>
      <c r="P31" s="325"/>
      <c r="Q31" s="416"/>
      <c r="R31" s="274" t="str">
        <f>IF(ISERROR(IF(P31&gt;0,DATEDIF(P31,MIN(CAM!$D$4,Q31),"m"),"")),0,IF(P31&gt;0,DATEDIF(P31,MIN(CAM!$D$4,Q31),"m"),""))</f>
        <v/>
      </c>
      <c r="S31" s="274">
        <f t="shared" si="1"/>
        <v>0</v>
      </c>
      <c r="T31" s="63"/>
      <c r="U31" s="62"/>
      <c r="V31" s="67"/>
      <c r="W31" s="67"/>
      <c r="X31" s="67"/>
      <c r="Y31" s="67"/>
      <c r="Z31" s="67"/>
      <c r="AA31" s="67"/>
      <c r="AB31" s="67"/>
      <c r="AC31" s="67"/>
      <c r="AD31" s="67"/>
      <c r="AE31" s="67"/>
      <c r="AF31" s="67"/>
      <c r="AG31" s="67"/>
      <c r="AI31" s="270" t="str">
        <f t="shared" si="2"/>
        <v/>
      </c>
      <c r="AJ31" s="270" t="str">
        <f t="shared" si="3"/>
        <v/>
      </c>
      <c r="AK31" s="271">
        <f t="shared" si="12"/>
        <v>0</v>
      </c>
      <c r="AL31" s="270" t="str">
        <f t="shared" si="4"/>
        <v/>
      </c>
      <c r="AM31" s="270">
        <f t="shared" si="5"/>
        <v>0</v>
      </c>
      <c r="AN31" s="270" t="str">
        <f t="shared" si="6"/>
        <v/>
      </c>
      <c r="AO31" s="270">
        <f t="shared" si="7"/>
        <v>0</v>
      </c>
      <c r="AP31" s="270" t="str">
        <f t="shared" si="8"/>
        <v/>
      </c>
      <c r="AQ31" s="270">
        <f t="shared" si="9"/>
        <v>0</v>
      </c>
      <c r="AR31" s="270">
        <f t="shared" si="10"/>
        <v>0</v>
      </c>
      <c r="AS31" s="270">
        <f t="shared" si="11"/>
        <v>0</v>
      </c>
    </row>
    <row r="32" spans="1:45" s="48" customFormat="1">
      <c r="A32" s="146"/>
      <c r="B32" s="317"/>
      <c r="C32" s="395"/>
      <c r="D32" s="411"/>
      <c r="E32" s="411"/>
      <c r="F32" s="321"/>
      <c r="G32" s="468"/>
      <c r="H32" s="272"/>
      <c r="I32" s="422"/>
      <c r="J32" s="321"/>
      <c r="K32" s="272"/>
      <c r="L32" s="272"/>
      <c r="M32" s="272"/>
      <c r="N32" s="65"/>
      <c r="O32" s="411"/>
      <c r="P32" s="68"/>
      <c r="Q32" s="273"/>
      <c r="R32" s="274" t="str">
        <f>IF(ISERROR(IF(P32&gt;0,DATEDIF(P32,MIN(CAM!$D$4,Q32),"m"),"")),0,IF(P32&gt;0,DATEDIF(P32,MIN(CAM!$D$4,Q32),"m"),""))</f>
        <v/>
      </c>
      <c r="S32" s="274">
        <f t="shared" si="1"/>
        <v>0</v>
      </c>
      <c r="T32" s="417"/>
      <c r="U32" s="62"/>
      <c r="V32" s="398"/>
      <c r="W32" s="398"/>
      <c r="X32" s="398"/>
      <c r="Y32" s="398"/>
      <c r="Z32" s="398"/>
      <c r="AA32" s="398"/>
      <c r="AB32" s="398"/>
      <c r="AC32" s="67"/>
      <c r="AD32" s="67"/>
      <c r="AE32" s="67"/>
      <c r="AF32" s="67"/>
      <c r="AG32" s="67"/>
      <c r="AI32" s="270" t="str">
        <f t="shared" si="2"/>
        <v/>
      </c>
      <c r="AJ32" s="270" t="str">
        <f t="shared" si="3"/>
        <v/>
      </c>
      <c r="AK32" s="271">
        <f t="shared" si="12"/>
        <v>0</v>
      </c>
      <c r="AL32" s="270" t="str">
        <f t="shared" si="4"/>
        <v/>
      </c>
      <c r="AM32" s="270">
        <f t="shared" si="5"/>
        <v>0</v>
      </c>
      <c r="AN32" s="270" t="str">
        <f t="shared" si="6"/>
        <v/>
      </c>
      <c r="AO32" s="270">
        <f t="shared" si="7"/>
        <v>0</v>
      </c>
      <c r="AP32" s="270" t="str">
        <f t="shared" si="8"/>
        <v/>
      </c>
      <c r="AQ32" s="270">
        <f t="shared" si="9"/>
        <v>0</v>
      </c>
      <c r="AR32" s="270">
        <f t="shared" si="10"/>
        <v>0</v>
      </c>
      <c r="AS32" s="270">
        <f t="shared" si="11"/>
        <v>0</v>
      </c>
    </row>
    <row r="33" spans="1:45" s="48" customFormat="1">
      <c r="A33" s="146"/>
      <c r="B33" s="317"/>
      <c r="C33" s="395"/>
      <c r="D33" s="411"/>
      <c r="E33" s="411"/>
      <c r="F33" s="321"/>
      <c r="G33" s="468"/>
      <c r="H33" s="272"/>
      <c r="I33" s="422"/>
      <c r="J33" s="321"/>
      <c r="K33" s="272"/>
      <c r="L33" s="272"/>
      <c r="M33" s="272"/>
      <c r="N33" s="65"/>
      <c r="O33" s="411"/>
      <c r="P33" s="68"/>
      <c r="Q33" s="273"/>
      <c r="R33" s="274" t="str">
        <f>IF(ISERROR(IF(P33&gt;0,DATEDIF(P33,MIN(CAM!$D$4,Q33),"m"),"")),0,IF(P33&gt;0,DATEDIF(P33,MIN(CAM!$D$4,Q33),"m"),""))</f>
        <v/>
      </c>
      <c r="S33" s="274">
        <f t="shared" si="1"/>
        <v>0</v>
      </c>
      <c r="T33" s="63"/>
      <c r="U33" s="62"/>
      <c r="V33" s="67"/>
      <c r="W33" s="67"/>
      <c r="X33" s="67"/>
      <c r="Y33" s="67"/>
      <c r="Z33" s="67"/>
      <c r="AA33" s="398"/>
      <c r="AB33" s="398"/>
      <c r="AC33" s="67"/>
      <c r="AD33" s="67"/>
      <c r="AE33" s="67"/>
      <c r="AF33" s="67"/>
      <c r="AG33" s="67"/>
      <c r="AI33" s="270" t="str">
        <f t="shared" si="2"/>
        <v/>
      </c>
      <c r="AJ33" s="270" t="str">
        <f t="shared" si="3"/>
        <v/>
      </c>
      <c r="AK33" s="271">
        <f t="shared" si="12"/>
        <v>0</v>
      </c>
      <c r="AL33" s="270" t="str">
        <f t="shared" si="4"/>
        <v/>
      </c>
      <c r="AM33" s="270">
        <f t="shared" si="5"/>
        <v>0</v>
      </c>
      <c r="AN33" s="270" t="str">
        <f t="shared" si="6"/>
        <v/>
      </c>
      <c r="AO33" s="270">
        <f t="shared" si="7"/>
        <v>0</v>
      </c>
      <c r="AP33" s="270" t="str">
        <f t="shared" si="8"/>
        <v/>
      </c>
      <c r="AQ33" s="270">
        <f t="shared" si="9"/>
        <v>0</v>
      </c>
      <c r="AR33" s="270">
        <f t="shared" si="10"/>
        <v>0</v>
      </c>
      <c r="AS33" s="270">
        <f t="shared" si="11"/>
        <v>0</v>
      </c>
    </row>
    <row r="34" spans="1:45" s="48" customFormat="1">
      <c r="A34" s="146"/>
      <c r="B34" s="317"/>
      <c r="C34" s="417"/>
      <c r="D34" s="418"/>
      <c r="E34" s="320"/>
      <c r="F34" s="321"/>
      <c r="G34" s="468"/>
      <c r="H34" s="272"/>
      <c r="I34" s="63"/>
      <c r="J34" s="321"/>
      <c r="K34" s="272"/>
      <c r="L34" s="272"/>
      <c r="M34" s="272"/>
      <c r="N34" s="65"/>
      <c r="O34" s="411"/>
      <c r="P34" s="68"/>
      <c r="Q34" s="273"/>
      <c r="R34" s="274" t="str">
        <f>IF(ISERROR(IF(P34&gt;0,DATEDIF(P34,MIN(CAM!$D$4,Q34),"m"),"")),0,IF(P34&gt;0,DATEDIF(P34,MIN(CAM!$D$4,Q34),"m"),""))</f>
        <v/>
      </c>
      <c r="S34" s="274">
        <f t="shared" si="1"/>
        <v>0</v>
      </c>
      <c r="T34" s="63"/>
      <c r="U34" s="62"/>
      <c r="V34" s="67"/>
      <c r="W34" s="67"/>
      <c r="X34" s="67"/>
      <c r="Y34" s="67"/>
      <c r="Z34" s="67"/>
      <c r="AA34" s="67"/>
      <c r="AB34" s="67"/>
      <c r="AC34" s="67"/>
      <c r="AD34" s="67"/>
      <c r="AE34" s="67"/>
      <c r="AF34" s="67"/>
      <c r="AG34" s="67"/>
      <c r="AI34" s="270" t="str">
        <f t="shared" si="2"/>
        <v/>
      </c>
      <c r="AJ34" s="270" t="str">
        <f t="shared" si="3"/>
        <v/>
      </c>
      <c r="AK34" s="271">
        <f t="shared" si="12"/>
        <v>0</v>
      </c>
      <c r="AL34" s="270" t="str">
        <f t="shared" si="4"/>
        <v/>
      </c>
      <c r="AM34" s="270">
        <f t="shared" si="5"/>
        <v>0</v>
      </c>
      <c r="AN34" s="270" t="str">
        <f t="shared" si="6"/>
        <v/>
      </c>
      <c r="AO34" s="270">
        <f t="shared" si="7"/>
        <v>0</v>
      </c>
      <c r="AP34" s="270" t="str">
        <f t="shared" si="8"/>
        <v/>
      </c>
      <c r="AQ34" s="270">
        <f t="shared" si="9"/>
        <v>0</v>
      </c>
      <c r="AR34" s="270">
        <f t="shared" si="10"/>
        <v>0</v>
      </c>
      <c r="AS34" s="270">
        <f t="shared" si="11"/>
        <v>0</v>
      </c>
    </row>
    <row r="35" spans="1:45" s="48" customFormat="1">
      <c r="A35" s="146"/>
      <c r="B35" s="317"/>
      <c r="C35" s="417"/>
      <c r="D35" s="322"/>
      <c r="E35" s="320"/>
      <c r="F35" s="321"/>
      <c r="G35" s="401"/>
      <c r="H35" s="272"/>
      <c r="I35" s="63"/>
      <c r="J35" s="321"/>
      <c r="K35" s="272"/>
      <c r="L35" s="272"/>
      <c r="M35" s="272"/>
      <c r="N35" s="65"/>
      <c r="O35" s="411"/>
      <c r="P35" s="425"/>
      <c r="Q35" s="273"/>
      <c r="R35" s="274" t="str">
        <f>IF(ISERROR(IF(P35&gt;0,DATEDIF(P35,MIN(CAM!$D$4,Q35),"m"),"")),0,IF(P35&gt;0,DATEDIF(P35,MIN(CAM!$D$4,Q35),"m"),""))</f>
        <v/>
      </c>
      <c r="S35" s="274">
        <f>IF(O35=R35,0,O35-R35)</f>
        <v>0</v>
      </c>
      <c r="T35" s="417"/>
      <c r="U35" s="62"/>
      <c r="V35" s="67"/>
      <c r="W35" s="67"/>
      <c r="X35" s="67"/>
      <c r="Y35" s="67"/>
      <c r="Z35" s="67"/>
      <c r="AA35" s="67"/>
      <c r="AB35" s="67"/>
      <c r="AC35" s="67"/>
      <c r="AD35" s="67"/>
      <c r="AE35" s="67"/>
      <c r="AF35" s="67"/>
      <c r="AG35" s="67"/>
      <c r="AI35" s="270" t="str">
        <f t="shared" si="2"/>
        <v/>
      </c>
      <c r="AJ35" s="270" t="str">
        <f t="shared" si="3"/>
        <v/>
      </c>
      <c r="AK35" s="271">
        <f t="shared" si="12"/>
        <v>0</v>
      </c>
      <c r="AL35" s="270" t="str">
        <f t="shared" si="4"/>
        <v/>
      </c>
      <c r="AM35" s="270">
        <f t="shared" si="5"/>
        <v>0</v>
      </c>
      <c r="AN35" s="270" t="str">
        <f t="shared" si="6"/>
        <v/>
      </c>
      <c r="AO35" s="270">
        <f t="shared" si="7"/>
        <v>0</v>
      </c>
      <c r="AP35" s="270" t="str">
        <f t="shared" si="8"/>
        <v/>
      </c>
      <c r="AQ35" s="270">
        <f t="shared" si="9"/>
        <v>0</v>
      </c>
      <c r="AR35" s="270">
        <f t="shared" si="10"/>
        <v>0</v>
      </c>
      <c r="AS35" s="270">
        <f t="shared" si="11"/>
        <v>0</v>
      </c>
    </row>
    <row r="36" spans="1:45" s="48" customFormat="1">
      <c r="A36" s="146"/>
      <c r="B36" s="317"/>
      <c r="C36" s="417"/>
      <c r="D36" s="418"/>
      <c r="E36" s="320"/>
      <c r="F36" s="320"/>
      <c r="G36" s="401"/>
      <c r="H36" s="272"/>
      <c r="I36" s="63"/>
      <c r="J36" s="321"/>
      <c r="K36" s="272"/>
      <c r="L36" s="272"/>
      <c r="M36" s="272"/>
      <c r="N36" s="65"/>
      <c r="O36" s="62"/>
      <c r="P36" s="68"/>
      <c r="Q36" s="273"/>
      <c r="R36" s="274" t="str">
        <f>IF(ISERROR(IF(P36&gt;0,DATEDIF(P36,MIN(CAM!$D$4,Q36),"m"),"")),0,IF(P36&gt;0,DATEDIF(P36,MIN(CAM!$D$4,Q36),"m"),""))</f>
        <v/>
      </c>
      <c r="S36" s="274">
        <f t="shared" si="1"/>
        <v>0</v>
      </c>
      <c r="T36" s="417"/>
      <c r="U36" s="62"/>
      <c r="V36" s="67"/>
      <c r="W36" s="67"/>
      <c r="X36" s="398"/>
      <c r="Y36" s="398"/>
      <c r="Z36" s="398"/>
      <c r="AA36" s="67"/>
      <c r="AB36" s="67"/>
      <c r="AC36" s="67"/>
      <c r="AD36" s="67"/>
      <c r="AE36" s="67"/>
      <c r="AF36" s="67"/>
      <c r="AG36" s="67"/>
      <c r="AI36" s="270" t="str">
        <f t="shared" si="2"/>
        <v/>
      </c>
      <c r="AJ36" s="270" t="str">
        <f t="shared" si="3"/>
        <v/>
      </c>
      <c r="AK36" s="271">
        <f t="shared" si="12"/>
        <v>0</v>
      </c>
      <c r="AL36" s="270" t="str">
        <f t="shared" si="4"/>
        <v/>
      </c>
      <c r="AM36" s="270">
        <f>IFERROR((AL36-AJ36)*I36,0)</f>
        <v>0</v>
      </c>
      <c r="AN36" s="270" t="str">
        <f t="shared" si="6"/>
        <v/>
      </c>
      <c r="AO36" s="270">
        <f t="shared" si="7"/>
        <v>0</v>
      </c>
      <c r="AP36" s="270" t="str">
        <f t="shared" si="8"/>
        <v/>
      </c>
      <c r="AQ36" s="270">
        <f t="shared" si="9"/>
        <v>0</v>
      </c>
      <c r="AR36" s="270">
        <f t="shared" si="10"/>
        <v>0</v>
      </c>
      <c r="AS36" s="270">
        <f t="shared" si="11"/>
        <v>0</v>
      </c>
    </row>
    <row r="37" spans="1:45" s="48" customFormat="1">
      <c r="A37" s="146"/>
      <c r="B37" s="317"/>
      <c r="C37" s="63"/>
      <c r="D37" s="322"/>
      <c r="E37" s="320"/>
      <c r="F37" s="321"/>
      <c r="G37" s="401"/>
      <c r="H37" s="272"/>
      <c r="I37" s="63"/>
      <c r="J37" s="321"/>
      <c r="K37" s="272"/>
      <c r="L37" s="272"/>
      <c r="M37" s="272"/>
      <c r="N37" s="65"/>
      <c r="O37" s="62"/>
      <c r="P37" s="68"/>
      <c r="Q37" s="273"/>
      <c r="R37" s="274" t="str">
        <f>IF(ISERROR(IF(P37&gt;0,DATEDIF(P37,MIN(CAM!$D$4,Q37),"m"),"")),0,IF(P37&gt;0,DATEDIF(P37,MIN(CAM!$D$4,Q37),"m"),""))</f>
        <v/>
      </c>
      <c r="S37" s="274">
        <f t="shared" si="1"/>
        <v>0</v>
      </c>
      <c r="T37" s="63"/>
      <c r="U37" s="62"/>
      <c r="V37" s="67"/>
      <c r="W37" s="67"/>
      <c r="X37" s="67"/>
      <c r="Y37" s="67"/>
      <c r="Z37" s="67"/>
      <c r="AA37" s="67"/>
      <c r="AB37" s="67"/>
      <c r="AC37" s="67"/>
      <c r="AD37" s="67"/>
      <c r="AE37" s="67"/>
      <c r="AF37" s="67"/>
      <c r="AG37" s="67"/>
      <c r="AI37" s="270" t="str">
        <f t="shared" si="2"/>
        <v/>
      </c>
      <c r="AJ37" s="270" t="str">
        <f t="shared" si="3"/>
        <v/>
      </c>
      <c r="AK37" s="271">
        <f t="shared" si="12"/>
        <v>0</v>
      </c>
      <c r="AL37" s="270" t="str">
        <f t="shared" si="4"/>
        <v/>
      </c>
      <c r="AM37" s="270">
        <f t="shared" si="5"/>
        <v>0</v>
      </c>
      <c r="AN37" s="270" t="str">
        <f t="shared" si="6"/>
        <v/>
      </c>
      <c r="AO37" s="270">
        <f t="shared" si="7"/>
        <v>0</v>
      </c>
      <c r="AP37" s="270" t="str">
        <f t="shared" si="8"/>
        <v/>
      </c>
      <c r="AQ37" s="270">
        <f t="shared" si="9"/>
        <v>0</v>
      </c>
      <c r="AR37" s="270">
        <f t="shared" si="10"/>
        <v>0</v>
      </c>
      <c r="AS37" s="270">
        <f t="shared" si="11"/>
        <v>0</v>
      </c>
    </row>
    <row r="38" spans="1:45" s="48" customFormat="1" hidden="1">
      <c r="A38" s="146"/>
      <c r="B38" s="317"/>
      <c r="C38" s="63"/>
      <c r="D38" s="322"/>
      <c r="E38" s="320"/>
      <c r="F38" s="321"/>
      <c r="G38" s="401"/>
      <c r="H38" s="272"/>
      <c r="I38" s="63"/>
      <c r="J38" s="321"/>
      <c r="K38" s="272"/>
      <c r="L38" s="272"/>
      <c r="M38" s="272"/>
      <c r="N38" s="65"/>
      <c r="O38" s="62"/>
      <c r="P38" s="68"/>
      <c r="Q38" s="273"/>
      <c r="R38" s="274" t="str">
        <f>IF(ISERROR(IF(P38&gt;0,DATEDIF(P38,MIN(CAM!$D$4,Q38),"m"),"")),0,IF(P38&gt;0,DATEDIF(P38,MIN(CAM!$D$4,Q38),"m"),""))</f>
        <v/>
      </c>
      <c r="S38" s="274">
        <f t="shared" si="1"/>
        <v>0</v>
      </c>
      <c r="T38" s="63"/>
      <c r="U38" s="62"/>
      <c r="V38" s="67"/>
      <c r="W38" s="67"/>
      <c r="X38" s="67"/>
      <c r="Y38" s="67"/>
      <c r="Z38" s="67"/>
      <c r="AA38" s="67"/>
      <c r="AB38" s="67"/>
      <c r="AC38" s="67"/>
      <c r="AD38" s="67"/>
      <c r="AE38" s="67"/>
      <c r="AF38" s="67"/>
      <c r="AG38" s="67"/>
      <c r="AI38" s="270" t="str">
        <f t="shared" si="2"/>
        <v/>
      </c>
      <c r="AJ38" s="270" t="str">
        <f t="shared" si="3"/>
        <v/>
      </c>
      <c r="AK38" s="271">
        <f t="shared" si="12"/>
        <v>0</v>
      </c>
      <c r="AL38" s="270" t="str">
        <f t="shared" si="4"/>
        <v/>
      </c>
      <c r="AM38" s="270">
        <f t="shared" si="5"/>
        <v>0</v>
      </c>
      <c r="AN38" s="270" t="str">
        <f t="shared" si="6"/>
        <v/>
      </c>
      <c r="AO38" s="270">
        <f t="shared" si="7"/>
        <v>0</v>
      </c>
      <c r="AP38" s="270" t="str">
        <f t="shared" si="8"/>
        <v/>
      </c>
      <c r="AQ38" s="270">
        <f t="shared" si="9"/>
        <v>0</v>
      </c>
      <c r="AR38" s="270">
        <f t="shared" si="10"/>
        <v>0</v>
      </c>
      <c r="AS38" s="270">
        <f t="shared" si="11"/>
        <v>0</v>
      </c>
    </row>
    <row r="39" spans="1:45" s="48" customFormat="1" hidden="1">
      <c r="A39" s="146"/>
      <c r="B39" s="317"/>
      <c r="C39" s="63"/>
      <c r="D39" s="322"/>
      <c r="E39" s="320"/>
      <c r="F39" s="321"/>
      <c r="G39" s="401"/>
      <c r="H39" s="272"/>
      <c r="I39" s="63"/>
      <c r="J39" s="321"/>
      <c r="K39" s="272"/>
      <c r="L39" s="272"/>
      <c r="M39" s="272"/>
      <c r="N39" s="65"/>
      <c r="O39" s="62"/>
      <c r="P39" s="68"/>
      <c r="Q39" s="273"/>
      <c r="R39" s="274" t="str">
        <f>IF(ISERROR(IF(P39&gt;0,DATEDIF(P39,MIN(CAM!$D$4,Q39),"m"),"")),0,IF(P39&gt;0,DATEDIF(P39,MIN(CAM!$D$4,Q39),"m"),""))</f>
        <v/>
      </c>
      <c r="S39" s="274">
        <f t="shared" si="1"/>
        <v>0</v>
      </c>
      <c r="T39" s="63"/>
      <c r="U39" s="62"/>
      <c r="V39" s="67"/>
      <c r="W39" s="67"/>
      <c r="X39" s="67"/>
      <c r="Y39" s="67"/>
      <c r="Z39" s="67"/>
      <c r="AA39" s="67"/>
      <c r="AB39" s="67"/>
      <c r="AC39" s="67"/>
      <c r="AD39" s="67"/>
      <c r="AE39" s="67"/>
      <c r="AF39" s="67"/>
      <c r="AG39" s="67"/>
      <c r="AI39" s="270" t="str">
        <f t="shared" si="2"/>
        <v/>
      </c>
      <c r="AJ39" s="270" t="str">
        <f t="shared" si="3"/>
        <v/>
      </c>
      <c r="AK39" s="271">
        <f t="shared" si="12"/>
        <v>0</v>
      </c>
      <c r="AL39" s="270" t="str">
        <f t="shared" si="4"/>
        <v/>
      </c>
      <c r="AM39" s="270">
        <f t="shared" si="5"/>
        <v>0</v>
      </c>
      <c r="AN39" s="270" t="str">
        <f t="shared" si="6"/>
        <v/>
      </c>
      <c r="AO39" s="270">
        <f t="shared" si="7"/>
        <v>0</v>
      </c>
      <c r="AP39" s="270" t="str">
        <f t="shared" si="8"/>
        <v/>
      </c>
      <c r="AQ39" s="270">
        <f t="shared" si="9"/>
        <v>0</v>
      </c>
      <c r="AR39" s="270">
        <f t="shared" si="10"/>
        <v>0</v>
      </c>
      <c r="AS39" s="270">
        <f t="shared" si="11"/>
        <v>0</v>
      </c>
    </row>
    <row r="40" spans="1:45" s="48" customFormat="1" hidden="1">
      <c r="A40" s="146"/>
      <c r="B40" s="317"/>
      <c r="C40" s="63"/>
      <c r="D40" s="322"/>
      <c r="E40" s="320"/>
      <c r="F40" s="321"/>
      <c r="G40" s="401"/>
      <c r="H40" s="272"/>
      <c r="I40" s="63"/>
      <c r="J40" s="321"/>
      <c r="K40" s="272"/>
      <c r="L40" s="272"/>
      <c r="M40" s="272"/>
      <c r="N40" s="65"/>
      <c r="O40" s="62"/>
      <c r="P40" s="68"/>
      <c r="Q40" s="273"/>
      <c r="R40" s="274" t="str">
        <f>IF(ISERROR(IF(P40&gt;0,DATEDIF(P40,MIN(CAM!$D$4,Q40),"m"),"")),0,IF(P40&gt;0,DATEDIF(P40,MIN(CAM!$D$4,Q40),"m"),""))</f>
        <v/>
      </c>
      <c r="S40" s="274">
        <f t="shared" si="1"/>
        <v>0</v>
      </c>
      <c r="T40" s="63"/>
      <c r="U40" s="62"/>
      <c r="V40" s="67"/>
      <c r="W40" s="67"/>
      <c r="X40" s="67"/>
      <c r="Y40" s="67"/>
      <c r="Z40" s="67"/>
      <c r="AA40" s="67"/>
      <c r="AB40" s="67"/>
      <c r="AC40" s="67"/>
      <c r="AD40" s="67"/>
      <c r="AE40" s="67"/>
      <c r="AF40" s="67"/>
      <c r="AG40" s="67"/>
      <c r="AI40" s="270" t="str">
        <f t="shared" si="2"/>
        <v/>
      </c>
      <c r="AJ40" s="270" t="str">
        <f t="shared" si="3"/>
        <v/>
      </c>
      <c r="AK40" s="271">
        <f t="shared" si="12"/>
        <v>0</v>
      </c>
      <c r="AL40" s="270" t="str">
        <f t="shared" si="4"/>
        <v/>
      </c>
      <c r="AM40" s="270">
        <f t="shared" si="5"/>
        <v>0</v>
      </c>
      <c r="AN40" s="270" t="str">
        <f t="shared" si="6"/>
        <v/>
      </c>
      <c r="AO40" s="270">
        <f t="shared" si="7"/>
        <v>0</v>
      </c>
      <c r="AP40" s="270" t="str">
        <f t="shared" si="8"/>
        <v/>
      </c>
      <c r="AQ40" s="270">
        <f t="shared" si="9"/>
        <v>0</v>
      </c>
      <c r="AR40" s="270">
        <f t="shared" si="10"/>
        <v>0</v>
      </c>
      <c r="AS40" s="270">
        <f t="shared" si="11"/>
        <v>0</v>
      </c>
    </row>
    <row r="41" spans="1:45" s="48" customFormat="1" hidden="1">
      <c r="A41" s="146"/>
      <c r="B41" s="317"/>
      <c r="C41" s="63"/>
      <c r="D41" s="322"/>
      <c r="E41" s="320"/>
      <c r="F41" s="321"/>
      <c r="G41" s="401"/>
      <c r="H41" s="272"/>
      <c r="I41" s="63"/>
      <c r="J41" s="321"/>
      <c r="K41" s="272"/>
      <c r="L41" s="272"/>
      <c r="M41" s="272"/>
      <c r="N41" s="65"/>
      <c r="O41" s="62"/>
      <c r="P41" s="68"/>
      <c r="Q41" s="273"/>
      <c r="R41" s="274" t="str">
        <f>IF(ISERROR(IF(P41&gt;0,DATEDIF(P41,MIN(CAM!$D$4,Q41),"m"),"")),0,IF(P41&gt;0,DATEDIF(P41,MIN(CAM!$D$4,Q41),"m"),""))</f>
        <v/>
      </c>
      <c r="S41" s="274">
        <f t="shared" si="1"/>
        <v>0</v>
      </c>
      <c r="T41" s="63"/>
      <c r="U41" s="62"/>
      <c r="V41" s="67"/>
      <c r="W41" s="67"/>
      <c r="X41" s="67"/>
      <c r="Y41" s="67"/>
      <c r="Z41" s="67"/>
      <c r="AA41" s="67"/>
      <c r="AB41" s="67"/>
      <c r="AC41" s="67"/>
      <c r="AD41" s="67"/>
      <c r="AE41" s="67"/>
      <c r="AF41" s="67"/>
      <c r="AG41" s="67"/>
      <c r="AI41" s="270" t="str">
        <f t="shared" si="2"/>
        <v/>
      </c>
      <c r="AJ41" s="270" t="str">
        <f t="shared" si="3"/>
        <v/>
      </c>
      <c r="AK41" s="271">
        <f t="shared" si="12"/>
        <v>0</v>
      </c>
      <c r="AL41" s="270" t="str">
        <f t="shared" si="4"/>
        <v/>
      </c>
      <c r="AM41" s="270">
        <f t="shared" si="5"/>
        <v>0</v>
      </c>
      <c r="AN41" s="270" t="str">
        <f t="shared" si="6"/>
        <v/>
      </c>
      <c r="AO41" s="270">
        <f t="shared" si="7"/>
        <v>0</v>
      </c>
      <c r="AP41" s="270" t="str">
        <f t="shared" si="8"/>
        <v/>
      </c>
      <c r="AQ41" s="270">
        <f t="shared" si="9"/>
        <v>0</v>
      </c>
      <c r="AR41" s="270">
        <f t="shared" si="10"/>
        <v>0</v>
      </c>
      <c r="AS41" s="270">
        <f t="shared" si="11"/>
        <v>0</v>
      </c>
    </row>
    <row r="42" spans="1:45" s="48" customFormat="1" hidden="1">
      <c r="A42" s="146"/>
      <c r="B42" s="317"/>
      <c r="C42" s="63"/>
      <c r="D42" s="322"/>
      <c r="E42" s="320"/>
      <c r="F42" s="321"/>
      <c r="G42" s="401"/>
      <c r="H42" s="272"/>
      <c r="I42" s="63"/>
      <c r="J42" s="321"/>
      <c r="K42" s="272"/>
      <c r="L42" s="272"/>
      <c r="M42" s="272"/>
      <c r="N42" s="65"/>
      <c r="O42" s="62"/>
      <c r="P42" s="68"/>
      <c r="Q42" s="273"/>
      <c r="R42" s="274" t="str">
        <f>IF(ISERROR(IF(P42&gt;0,DATEDIF(P42,MIN(CAM!$D$4,Q42),"m"),"")),0,IF(P42&gt;0,DATEDIF(P42,MIN(CAM!$D$4,Q42),"m"),""))</f>
        <v/>
      </c>
      <c r="S42" s="274">
        <f t="shared" si="1"/>
        <v>0</v>
      </c>
      <c r="T42" s="63"/>
      <c r="U42" s="62"/>
      <c r="V42" s="67"/>
      <c r="W42" s="67"/>
      <c r="X42" s="67"/>
      <c r="Y42" s="67"/>
      <c r="Z42" s="67"/>
      <c r="AA42" s="67"/>
      <c r="AB42" s="67"/>
      <c r="AC42" s="67"/>
      <c r="AD42" s="67"/>
      <c r="AE42" s="67"/>
      <c r="AF42" s="67"/>
      <c r="AG42" s="67"/>
      <c r="AI42" s="270" t="str">
        <f t="shared" si="2"/>
        <v/>
      </c>
      <c r="AJ42" s="270" t="str">
        <f t="shared" si="3"/>
        <v/>
      </c>
      <c r="AK42" s="271">
        <f t="shared" si="12"/>
        <v>0</v>
      </c>
      <c r="AL42" s="270" t="str">
        <f t="shared" si="4"/>
        <v/>
      </c>
      <c r="AM42" s="270">
        <f t="shared" si="5"/>
        <v>0</v>
      </c>
      <c r="AN42" s="270" t="str">
        <f t="shared" si="6"/>
        <v/>
      </c>
      <c r="AO42" s="270">
        <f t="shared" si="7"/>
        <v>0</v>
      </c>
      <c r="AP42" s="270" t="str">
        <f t="shared" si="8"/>
        <v/>
      </c>
      <c r="AQ42" s="270">
        <f t="shared" si="9"/>
        <v>0</v>
      </c>
      <c r="AR42" s="270">
        <f t="shared" si="10"/>
        <v>0</v>
      </c>
      <c r="AS42" s="270">
        <f t="shared" si="11"/>
        <v>0</v>
      </c>
    </row>
    <row r="43" spans="1:45" s="48" customFormat="1" hidden="1">
      <c r="A43" s="146"/>
      <c r="B43" s="317"/>
      <c r="C43" s="63"/>
      <c r="D43" s="322"/>
      <c r="E43" s="320"/>
      <c r="F43" s="321"/>
      <c r="G43" s="401"/>
      <c r="H43" s="272"/>
      <c r="I43" s="63"/>
      <c r="J43" s="321"/>
      <c r="K43" s="272"/>
      <c r="L43" s="272"/>
      <c r="M43" s="272"/>
      <c r="N43" s="65"/>
      <c r="O43" s="62"/>
      <c r="P43" s="68"/>
      <c r="Q43" s="273"/>
      <c r="R43" s="274" t="str">
        <f>IF(ISERROR(IF(P43&gt;0,DATEDIF(P43,MIN(CAM!$D$4,Q43),"m"),"")),0,IF(P43&gt;0,DATEDIF(P43,MIN(CAM!$D$4,Q43),"m"),""))</f>
        <v/>
      </c>
      <c r="S43" s="274">
        <f t="shared" si="1"/>
        <v>0</v>
      </c>
      <c r="T43" s="63"/>
      <c r="U43" s="62"/>
      <c r="V43" s="67"/>
      <c r="W43" s="67"/>
      <c r="X43" s="67"/>
      <c r="Y43" s="67"/>
      <c r="Z43" s="67"/>
      <c r="AA43" s="67"/>
      <c r="AB43" s="67"/>
      <c r="AC43" s="67"/>
      <c r="AD43" s="67"/>
      <c r="AE43" s="67"/>
      <c r="AF43" s="67"/>
      <c r="AG43" s="67"/>
      <c r="AI43" s="270" t="str">
        <f t="shared" si="2"/>
        <v/>
      </c>
      <c r="AJ43" s="270" t="str">
        <f t="shared" si="3"/>
        <v/>
      </c>
      <c r="AK43" s="271">
        <f t="shared" si="12"/>
        <v>0</v>
      </c>
      <c r="AL43" s="270" t="str">
        <f t="shared" si="4"/>
        <v/>
      </c>
      <c r="AM43" s="270">
        <f t="shared" si="5"/>
        <v>0</v>
      </c>
      <c r="AN43" s="270" t="str">
        <f t="shared" si="6"/>
        <v/>
      </c>
      <c r="AO43" s="270">
        <f t="shared" si="7"/>
        <v>0</v>
      </c>
      <c r="AP43" s="270" t="str">
        <f t="shared" si="8"/>
        <v/>
      </c>
      <c r="AQ43" s="270">
        <f t="shared" si="9"/>
        <v>0</v>
      </c>
      <c r="AR43" s="270">
        <f t="shared" si="10"/>
        <v>0</v>
      </c>
      <c r="AS43" s="270">
        <f t="shared" si="11"/>
        <v>0</v>
      </c>
    </row>
    <row r="44" spans="1:45" s="48" customFormat="1" hidden="1">
      <c r="A44" s="146"/>
      <c r="B44" s="317"/>
      <c r="C44" s="63"/>
      <c r="D44" s="322"/>
      <c r="E44" s="320"/>
      <c r="F44" s="321"/>
      <c r="G44" s="401"/>
      <c r="H44" s="272"/>
      <c r="I44" s="63"/>
      <c r="J44" s="321"/>
      <c r="K44" s="272"/>
      <c r="L44" s="272"/>
      <c r="M44" s="272"/>
      <c r="N44" s="65"/>
      <c r="O44" s="62"/>
      <c r="P44" s="68"/>
      <c r="Q44" s="273"/>
      <c r="R44" s="274" t="str">
        <f>IF(ISERROR(IF(P44&gt;0,DATEDIF(P44,MIN(CAM!$D$4,Q44),"m"),"")),0,IF(P44&gt;0,DATEDIF(P44,MIN(CAM!$D$4,Q44),"m"),""))</f>
        <v/>
      </c>
      <c r="S44" s="274">
        <f t="shared" si="1"/>
        <v>0</v>
      </c>
      <c r="T44" s="63"/>
      <c r="U44" s="62"/>
      <c r="V44" s="67"/>
      <c r="W44" s="67"/>
      <c r="X44" s="67"/>
      <c r="Y44" s="67"/>
      <c r="Z44" s="67"/>
      <c r="AA44" s="67"/>
      <c r="AB44" s="67"/>
      <c r="AC44" s="67"/>
      <c r="AD44" s="67"/>
      <c r="AE44" s="67"/>
      <c r="AF44" s="67"/>
      <c r="AG44" s="67"/>
      <c r="AI44" s="270" t="str">
        <f t="shared" si="2"/>
        <v/>
      </c>
      <c r="AJ44" s="270" t="str">
        <f t="shared" si="3"/>
        <v/>
      </c>
      <c r="AK44" s="271">
        <f t="shared" si="12"/>
        <v>0</v>
      </c>
      <c r="AL44" s="270" t="str">
        <f t="shared" si="4"/>
        <v/>
      </c>
      <c r="AM44" s="270">
        <f t="shared" si="5"/>
        <v>0</v>
      </c>
      <c r="AN44" s="270" t="str">
        <f t="shared" si="6"/>
        <v/>
      </c>
      <c r="AO44" s="270">
        <f t="shared" si="7"/>
        <v>0</v>
      </c>
      <c r="AP44" s="270" t="str">
        <f t="shared" si="8"/>
        <v/>
      </c>
      <c r="AQ44" s="270">
        <f t="shared" si="9"/>
        <v>0</v>
      </c>
      <c r="AR44" s="270">
        <f t="shared" si="10"/>
        <v>0</v>
      </c>
      <c r="AS44" s="270">
        <f t="shared" si="11"/>
        <v>0</v>
      </c>
    </row>
    <row r="45" spans="1:45" s="48" customFormat="1" hidden="1">
      <c r="A45" s="146"/>
      <c r="B45" s="317"/>
      <c r="C45" s="63"/>
      <c r="D45" s="322"/>
      <c r="E45" s="320"/>
      <c r="F45" s="321"/>
      <c r="G45" s="401"/>
      <c r="H45" s="272"/>
      <c r="I45" s="63"/>
      <c r="J45" s="321"/>
      <c r="K45" s="272"/>
      <c r="L45" s="272"/>
      <c r="M45" s="272"/>
      <c r="N45" s="65"/>
      <c r="O45" s="62"/>
      <c r="P45" s="68"/>
      <c r="Q45" s="273"/>
      <c r="R45" s="274" t="str">
        <f>IF(ISERROR(IF(P45&gt;0,DATEDIF(P45,MIN(CAM!$D$4,Q45),"m"),"")),0,IF(P45&gt;0,DATEDIF(P45,MIN(CAM!$D$4,Q45),"m"),""))</f>
        <v/>
      </c>
      <c r="S45" s="274">
        <f t="shared" si="1"/>
        <v>0</v>
      </c>
      <c r="T45" s="63"/>
      <c r="U45" s="62"/>
      <c r="V45" s="67"/>
      <c r="W45" s="67"/>
      <c r="X45" s="67"/>
      <c r="Y45" s="67"/>
      <c r="Z45" s="67"/>
      <c r="AA45" s="67"/>
      <c r="AB45" s="67"/>
      <c r="AC45" s="67"/>
      <c r="AD45" s="67"/>
      <c r="AE45" s="67"/>
      <c r="AF45" s="67"/>
      <c r="AG45" s="67"/>
      <c r="AI45" s="270" t="str">
        <f t="shared" si="2"/>
        <v/>
      </c>
      <c r="AJ45" s="270" t="str">
        <f t="shared" si="3"/>
        <v/>
      </c>
      <c r="AK45" s="271">
        <f t="shared" si="12"/>
        <v>0</v>
      </c>
      <c r="AL45" s="270" t="str">
        <f t="shared" si="4"/>
        <v/>
      </c>
      <c r="AM45" s="270">
        <f t="shared" si="5"/>
        <v>0</v>
      </c>
      <c r="AN45" s="270" t="str">
        <f t="shared" si="6"/>
        <v/>
      </c>
      <c r="AO45" s="270">
        <f t="shared" si="7"/>
        <v>0</v>
      </c>
      <c r="AP45" s="270" t="str">
        <f t="shared" si="8"/>
        <v/>
      </c>
      <c r="AQ45" s="270">
        <f t="shared" si="9"/>
        <v>0</v>
      </c>
      <c r="AR45" s="270">
        <f t="shared" si="10"/>
        <v>0</v>
      </c>
      <c r="AS45" s="270">
        <f t="shared" si="11"/>
        <v>0</v>
      </c>
    </row>
    <row r="46" spans="1:45" s="48" customFormat="1" hidden="1">
      <c r="A46" s="146"/>
      <c r="B46" s="317"/>
      <c r="C46" s="63"/>
      <c r="D46" s="322"/>
      <c r="E46" s="320"/>
      <c r="F46" s="321"/>
      <c r="G46" s="401"/>
      <c r="H46" s="272"/>
      <c r="I46" s="63"/>
      <c r="J46" s="321"/>
      <c r="K46" s="272"/>
      <c r="L46" s="272"/>
      <c r="M46" s="272"/>
      <c r="N46" s="65"/>
      <c r="O46" s="62"/>
      <c r="P46" s="68"/>
      <c r="Q46" s="273"/>
      <c r="R46" s="274" t="str">
        <f>IF(ISERROR(IF(P46&gt;0,DATEDIF(P46,MIN(CAM!$D$4,Q46),"m"),"")),0,IF(P46&gt;0,DATEDIF(P46,MIN(CAM!$D$4,Q46),"m"),""))</f>
        <v/>
      </c>
      <c r="S46" s="274">
        <f t="shared" si="1"/>
        <v>0</v>
      </c>
      <c r="T46" s="63"/>
      <c r="U46" s="62"/>
      <c r="V46" s="67"/>
      <c r="W46" s="67"/>
      <c r="X46" s="67"/>
      <c r="Y46" s="67"/>
      <c r="Z46" s="67"/>
      <c r="AA46" s="67"/>
      <c r="AB46" s="67"/>
      <c r="AC46" s="67"/>
      <c r="AD46" s="67"/>
      <c r="AE46" s="67"/>
      <c r="AF46" s="67"/>
      <c r="AG46" s="67"/>
      <c r="AI46" s="270" t="str">
        <f t="shared" si="2"/>
        <v/>
      </c>
      <c r="AJ46" s="270" t="str">
        <f t="shared" si="3"/>
        <v/>
      </c>
      <c r="AK46" s="271">
        <f t="shared" si="12"/>
        <v>0</v>
      </c>
      <c r="AL46" s="270" t="str">
        <f t="shared" si="4"/>
        <v/>
      </c>
      <c r="AM46" s="270">
        <f t="shared" si="5"/>
        <v>0</v>
      </c>
      <c r="AN46" s="270" t="str">
        <f t="shared" si="6"/>
        <v/>
      </c>
      <c r="AO46" s="270">
        <f t="shared" si="7"/>
        <v>0</v>
      </c>
      <c r="AP46" s="270" t="str">
        <f t="shared" si="8"/>
        <v/>
      </c>
      <c r="AQ46" s="270">
        <f t="shared" si="9"/>
        <v>0</v>
      </c>
      <c r="AR46" s="270">
        <f t="shared" si="10"/>
        <v>0</v>
      </c>
      <c r="AS46" s="270">
        <f t="shared" si="11"/>
        <v>0</v>
      </c>
    </row>
    <row r="47" spans="1:45" s="48" customFormat="1" hidden="1">
      <c r="A47" s="146"/>
      <c r="B47" s="317"/>
      <c r="C47" s="63"/>
      <c r="D47" s="322"/>
      <c r="E47" s="320"/>
      <c r="F47" s="321"/>
      <c r="G47" s="401"/>
      <c r="H47" s="272"/>
      <c r="I47" s="63"/>
      <c r="J47" s="321"/>
      <c r="K47" s="272"/>
      <c r="L47" s="272"/>
      <c r="M47" s="272"/>
      <c r="N47" s="65"/>
      <c r="O47" s="62"/>
      <c r="P47" s="68"/>
      <c r="Q47" s="273"/>
      <c r="R47" s="274" t="str">
        <f>IF(ISERROR(IF(P47&gt;0,DATEDIF(P47,MIN(CAM!$D$4,Q47),"m"),"")),0,IF(P47&gt;0,DATEDIF(P47,MIN(CAM!$D$4,Q47),"m"),""))</f>
        <v/>
      </c>
      <c r="S47" s="274">
        <f t="shared" si="1"/>
        <v>0</v>
      </c>
      <c r="T47" s="63"/>
      <c r="U47" s="62"/>
      <c r="V47" s="67"/>
      <c r="W47" s="67"/>
      <c r="X47" s="67"/>
      <c r="Y47" s="67"/>
      <c r="Z47" s="67"/>
      <c r="AA47" s="67"/>
      <c r="AB47" s="67"/>
      <c r="AC47" s="67"/>
      <c r="AD47" s="67"/>
      <c r="AE47" s="67"/>
      <c r="AF47" s="67"/>
      <c r="AG47" s="67"/>
      <c r="AI47" s="270" t="str">
        <f t="shared" si="2"/>
        <v/>
      </c>
      <c r="AJ47" s="270" t="str">
        <f t="shared" si="3"/>
        <v/>
      </c>
      <c r="AK47" s="271">
        <f t="shared" si="12"/>
        <v>0</v>
      </c>
      <c r="AL47" s="270" t="str">
        <f t="shared" si="4"/>
        <v/>
      </c>
      <c r="AM47" s="270">
        <f t="shared" si="5"/>
        <v>0</v>
      </c>
      <c r="AN47" s="270" t="str">
        <f t="shared" si="6"/>
        <v/>
      </c>
      <c r="AO47" s="270">
        <f t="shared" si="7"/>
        <v>0</v>
      </c>
      <c r="AP47" s="270" t="str">
        <f t="shared" si="8"/>
        <v/>
      </c>
      <c r="AQ47" s="270">
        <f t="shared" si="9"/>
        <v>0</v>
      </c>
      <c r="AR47" s="270">
        <f t="shared" si="10"/>
        <v>0</v>
      </c>
      <c r="AS47" s="270">
        <f t="shared" si="11"/>
        <v>0</v>
      </c>
    </row>
    <row r="48" spans="1:45" s="48" customFormat="1" hidden="1">
      <c r="A48" s="146"/>
      <c r="B48" s="317"/>
      <c r="C48" s="63"/>
      <c r="D48" s="322"/>
      <c r="E48" s="320"/>
      <c r="F48" s="321"/>
      <c r="G48" s="401"/>
      <c r="H48" s="272"/>
      <c r="I48" s="63"/>
      <c r="J48" s="321"/>
      <c r="K48" s="272"/>
      <c r="L48" s="272"/>
      <c r="M48" s="272"/>
      <c r="N48" s="65"/>
      <c r="O48" s="62"/>
      <c r="P48" s="68"/>
      <c r="Q48" s="273"/>
      <c r="R48" s="274" t="str">
        <f>IF(ISERROR(IF(P48&gt;0,DATEDIF(P48,MIN(CAM!$D$4,Q48),"m"),"")),0,IF(P48&gt;0,DATEDIF(P48,MIN(CAM!$D$4,Q48),"m"),""))</f>
        <v/>
      </c>
      <c r="S48" s="274">
        <f t="shared" si="1"/>
        <v>0</v>
      </c>
      <c r="T48" s="63"/>
      <c r="U48" s="62"/>
      <c r="V48" s="67"/>
      <c r="W48" s="67"/>
      <c r="X48" s="67"/>
      <c r="Y48" s="67"/>
      <c r="Z48" s="67"/>
      <c r="AA48" s="67"/>
      <c r="AB48" s="67"/>
      <c r="AC48" s="67"/>
      <c r="AD48" s="67"/>
      <c r="AE48" s="67"/>
      <c r="AF48" s="67"/>
      <c r="AG48" s="67"/>
      <c r="AI48" s="270" t="str">
        <f t="shared" si="2"/>
        <v/>
      </c>
      <c r="AJ48" s="270" t="str">
        <f t="shared" si="3"/>
        <v/>
      </c>
      <c r="AK48" s="271">
        <f t="shared" si="12"/>
        <v>0</v>
      </c>
      <c r="AL48" s="270" t="str">
        <f t="shared" si="4"/>
        <v/>
      </c>
      <c r="AM48" s="270">
        <f t="shared" si="5"/>
        <v>0</v>
      </c>
      <c r="AN48" s="270" t="str">
        <f t="shared" si="6"/>
        <v/>
      </c>
      <c r="AO48" s="270">
        <f t="shared" si="7"/>
        <v>0</v>
      </c>
      <c r="AP48" s="270" t="str">
        <f t="shared" si="8"/>
        <v/>
      </c>
      <c r="AQ48" s="270">
        <f t="shared" si="9"/>
        <v>0</v>
      </c>
      <c r="AR48" s="270">
        <f t="shared" si="10"/>
        <v>0</v>
      </c>
      <c r="AS48" s="270">
        <f t="shared" si="11"/>
        <v>0</v>
      </c>
    </row>
    <row r="49" spans="1:45" s="48" customFormat="1" hidden="1">
      <c r="A49" s="146"/>
      <c r="B49" s="317"/>
      <c r="C49" s="63"/>
      <c r="D49" s="322"/>
      <c r="E49" s="320"/>
      <c r="F49" s="321"/>
      <c r="G49" s="401"/>
      <c r="H49" s="272"/>
      <c r="I49" s="63"/>
      <c r="J49" s="321"/>
      <c r="K49" s="272"/>
      <c r="L49" s="272"/>
      <c r="M49" s="272"/>
      <c r="N49" s="65"/>
      <c r="O49" s="62"/>
      <c r="P49" s="68"/>
      <c r="Q49" s="273"/>
      <c r="R49" s="274" t="str">
        <f>IF(ISERROR(IF(P49&gt;0,DATEDIF(P49,MIN(CAM!$D$4,Q49),"m"),"")),0,IF(P49&gt;0,DATEDIF(P49,MIN(CAM!$D$4,Q49),"m"),""))</f>
        <v/>
      </c>
      <c r="S49" s="274">
        <f t="shared" si="1"/>
        <v>0</v>
      </c>
      <c r="T49" s="63"/>
      <c r="U49" s="62"/>
      <c r="V49" s="67"/>
      <c r="W49" s="67"/>
      <c r="X49" s="67"/>
      <c r="Y49" s="67"/>
      <c r="Z49" s="67"/>
      <c r="AA49" s="67"/>
      <c r="AB49" s="67"/>
      <c r="AC49" s="67"/>
      <c r="AD49" s="67"/>
      <c r="AE49" s="67"/>
      <c r="AF49" s="67"/>
      <c r="AG49" s="67"/>
      <c r="AI49" s="270" t="str">
        <f t="shared" si="2"/>
        <v/>
      </c>
      <c r="AJ49" s="270" t="str">
        <f t="shared" si="3"/>
        <v/>
      </c>
      <c r="AK49" s="271">
        <f t="shared" si="12"/>
        <v>0</v>
      </c>
      <c r="AL49" s="270" t="str">
        <f t="shared" si="4"/>
        <v/>
      </c>
      <c r="AM49" s="270">
        <f t="shared" si="5"/>
        <v>0</v>
      </c>
      <c r="AN49" s="270" t="str">
        <f t="shared" si="6"/>
        <v/>
      </c>
      <c r="AO49" s="270">
        <f t="shared" si="7"/>
        <v>0</v>
      </c>
      <c r="AP49" s="270" t="str">
        <f t="shared" si="8"/>
        <v/>
      </c>
      <c r="AQ49" s="270">
        <f t="shared" si="9"/>
        <v>0</v>
      </c>
      <c r="AR49" s="270">
        <f t="shared" si="10"/>
        <v>0</v>
      </c>
      <c r="AS49" s="270">
        <f t="shared" si="11"/>
        <v>0</v>
      </c>
    </row>
    <row r="50" spans="1:45" s="48" customFormat="1" hidden="1">
      <c r="A50" s="146"/>
      <c r="B50" s="317"/>
      <c r="C50" s="63"/>
      <c r="D50" s="322"/>
      <c r="E50" s="320"/>
      <c r="F50" s="321"/>
      <c r="G50" s="401"/>
      <c r="H50" s="272"/>
      <c r="I50" s="63"/>
      <c r="J50" s="321"/>
      <c r="K50" s="272"/>
      <c r="L50" s="272"/>
      <c r="M50" s="272"/>
      <c r="N50" s="65"/>
      <c r="O50" s="62"/>
      <c r="P50" s="68"/>
      <c r="Q50" s="273"/>
      <c r="R50" s="274" t="str">
        <f>IF(ISERROR(IF(P50&gt;0,DATEDIF(P50,MIN(CAM!$D$4,Q50),"m"),"")),0,IF(P50&gt;0,DATEDIF(P50,MIN(CAM!$D$4,Q50),"m"),""))</f>
        <v/>
      </c>
      <c r="S50" s="274">
        <f t="shared" si="1"/>
        <v>0</v>
      </c>
      <c r="T50" s="63"/>
      <c r="U50" s="62"/>
      <c r="V50" s="67"/>
      <c r="W50" s="67"/>
      <c r="X50" s="67"/>
      <c r="Y50" s="67"/>
      <c r="Z50" s="67"/>
      <c r="AA50" s="67"/>
      <c r="AB50" s="67"/>
      <c r="AC50" s="67"/>
      <c r="AD50" s="67"/>
      <c r="AE50" s="67"/>
      <c r="AF50" s="67"/>
      <c r="AG50" s="67"/>
      <c r="AI50" s="270" t="str">
        <f t="shared" si="2"/>
        <v/>
      </c>
      <c r="AJ50" s="270" t="str">
        <f t="shared" si="3"/>
        <v/>
      </c>
      <c r="AK50" s="271">
        <f t="shared" si="12"/>
        <v>0</v>
      </c>
      <c r="AL50" s="270" t="str">
        <f t="shared" si="4"/>
        <v/>
      </c>
      <c r="AM50" s="270">
        <f t="shared" si="5"/>
        <v>0</v>
      </c>
      <c r="AN50" s="270" t="str">
        <f t="shared" si="6"/>
        <v/>
      </c>
      <c r="AO50" s="270">
        <f t="shared" si="7"/>
        <v>0</v>
      </c>
      <c r="AP50" s="270" t="str">
        <f t="shared" si="8"/>
        <v/>
      </c>
      <c r="AQ50" s="270">
        <f t="shared" si="9"/>
        <v>0</v>
      </c>
      <c r="AR50" s="270">
        <f t="shared" si="10"/>
        <v>0</v>
      </c>
      <c r="AS50" s="270">
        <f t="shared" si="11"/>
        <v>0</v>
      </c>
    </row>
    <row r="51" spans="1:45" s="48" customFormat="1" hidden="1">
      <c r="A51" s="146"/>
      <c r="B51" s="317"/>
      <c r="C51" s="63"/>
      <c r="D51" s="322"/>
      <c r="E51" s="320"/>
      <c r="F51" s="321"/>
      <c r="G51" s="401"/>
      <c r="H51" s="272"/>
      <c r="I51" s="63"/>
      <c r="J51" s="321"/>
      <c r="K51" s="272"/>
      <c r="L51" s="272"/>
      <c r="M51" s="272"/>
      <c r="N51" s="65"/>
      <c r="O51" s="62"/>
      <c r="P51" s="68"/>
      <c r="Q51" s="273"/>
      <c r="R51" s="274" t="str">
        <f>IF(ISERROR(IF(P51&gt;0,DATEDIF(P51,MIN(CAM!$D$4,Q51),"m"),"")),0,IF(P51&gt;0,DATEDIF(P51,MIN(CAM!$D$4,Q51),"m"),""))</f>
        <v/>
      </c>
      <c r="S51" s="274">
        <f t="shared" si="1"/>
        <v>0</v>
      </c>
      <c r="T51" s="63"/>
      <c r="U51" s="62"/>
      <c r="V51" s="67"/>
      <c r="W51" s="67"/>
      <c r="X51" s="67"/>
      <c r="Y51" s="67"/>
      <c r="Z51" s="67"/>
      <c r="AA51" s="67"/>
      <c r="AB51" s="67"/>
      <c r="AC51" s="67"/>
      <c r="AD51" s="67"/>
      <c r="AE51" s="67"/>
      <c r="AF51" s="67"/>
      <c r="AG51" s="67"/>
      <c r="AI51" s="270" t="str">
        <f t="shared" si="2"/>
        <v/>
      </c>
      <c r="AJ51" s="270" t="str">
        <f t="shared" si="3"/>
        <v/>
      </c>
      <c r="AK51" s="271">
        <f t="shared" si="12"/>
        <v>0</v>
      </c>
      <c r="AL51" s="270" t="str">
        <f t="shared" si="4"/>
        <v/>
      </c>
      <c r="AM51" s="270">
        <f t="shared" si="5"/>
        <v>0</v>
      </c>
      <c r="AN51" s="270" t="str">
        <f t="shared" si="6"/>
        <v/>
      </c>
      <c r="AO51" s="270">
        <f t="shared" si="7"/>
        <v>0</v>
      </c>
      <c r="AP51" s="270" t="str">
        <f t="shared" si="8"/>
        <v/>
      </c>
      <c r="AQ51" s="270">
        <f t="shared" si="9"/>
        <v>0</v>
      </c>
      <c r="AR51" s="270">
        <f t="shared" si="10"/>
        <v>0</v>
      </c>
      <c r="AS51" s="270">
        <f t="shared" si="11"/>
        <v>0</v>
      </c>
    </row>
    <row r="52" spans="1:45" s="48" customFormat="1" hidden="1">
      <c r="A52" s="146"/>
      <c r="B52" s="317"/>
      <c r="C52" s="63"/>
      <c r="D52" s="322"/>
      <c r="E52" s="320"/>
      <c r="F52" s="321"/>
      <c r="G52" s="401"/>
      <c r="H52" s="272"/>
      <c r="I52" s="63"/>
      <c r="J52" s="321"/>
      <c r="K52" s="272"/>
      <c r="L52" s="272"/>
      <c r="M52" s="272"/>
      <c r="N52" s="65"/>
      <c r="O52" s="62"/>
      <c r="P52" s="68"/>
      <c r="Q52" s="273"/>
      <c r="R52" s="274" t="str">
        <f>IF(ISERROR(IF(P52&gt;0,DATEDIF(P52,MIN(CAM!$D$4,Q52),"m"),"")),0,IF(P52&gt;0,DATEDIF(P52,MIN(CAM!$D$4,Q52),"m"),""))</f>
        <v/>
      </c>
      <c r="S52" s="274">
        <f t="shared" si="1"/>
        <v>0</v>
      </c>
      <c r="T52" s="63"/>
      <c r="U52" s="62"/>
      <c r="V52" s="67"/>
      <c r="W52" s="67"/>
      <c r="X52" s="67"/>
      <c r="Y52" s="67"/>
      <c r="Z52" s="67"/>
      <c r="AA52" s="67"/>
      <c r="AB52" s="67"/>
      <c r="AC52" s="67"/>
      <c r="AD52" s="67"/>
      <c r="AE52" s="67"/>
      <c r="AF52" s="67"/>
      <c r="AG52" s="67"/>
      <c r="AI52" s="270" t="str">
        <f t="shared" si="2"/>
        <v/>
      </c>
      <c r="AJ52" s="270" t="str">
        <f t="shared" si="3"/>
        <v/>
      </c>
      <c r="AK52" s="271">
        <f t="shared" si="12"/>
        <v>0</v>
      </c>
      <c r="AL52" s="270" t="str">
        <f t="shared" si="4"/>
        <v/>
      </c>
      <c r="AM52" s="270">
        <f t="shared" si="5"/>
        <v>0</v>
      </c>
      <c r="AN52" s="270" t="str">
        <f t="shared" si="6"/>
        <v/>
      </c>
      <c r="AO52" s="270">
        <f t="shared" si="7"/>
        <v>0</v>
      </c>
      <c r="AP52" s="270" t="str">
        <f t="shared" si="8"/>
        <v/>
      </c>
      <c r="AQ52" s="270">
        <f t="shared" si="9"/>
        <v>0</v>
      </c>
      <c r="AR52" s="270">
        <f t="shared" si="10"/>
        <v>0</v>
      </c>
      <c r="AS52" s="270">
        <f t="shared" si="11"/>
        <v>0</v>
      </c>
    </row>
    <row r="53" spans="1:45" s="48" customFormat="1" hidden="1">
      <c r="A53" s="146"/>
      <c r="B53" s="317"/>
      <c r="C53" s="63"/>
      <c r="D53" s="322"/>
      <c r="E53" s="320"/>
      <c r="F53" s="321"/>
      <c r="G53" s="401"/>
      <c r="H53" s="272"/>
      <c r="I53" s="63"/>
      <c r="J53" s="321"/>
      <c r="K53" s="272"/>
      <c r="L53" s="272"/>
      <c r="M53" s="272"/>
      <c r="N53" s="65"/>
      <c r="O53" s="62"/>
      <c r="P53" s="68"/>
      <c r="Q53" s="273"/>
      <c r="R53" s="274" t="str">
        <f>IF(ISERROR(IF(P53&gt;0,DATEDIF(P53,MIN(CAM!$D$4,Q53),"m"),"")),0,IF(P53&gt;0,DATEDIF(P53,MIN(CAM!$D$4,Q53),"m"),""))</f>
        <v/>
      </c>
      <c r="S53" s="274">
        <f t="shared" si="1"/>
        <v>0</v>
      </c>
      <c r="T53" s="63"/>
      <c r="U53" s="62"/>
      <c r="V53" s="67"/>
      <c r="W53" s="67"/>
      <c r="X53" s="67"/>
      <c r="Y53" s="67"/>
      <c r="Z53" s="67"/>
      <c r="AA53" s="67"/>
      <c r="AB53" s="67"/>
      <c r="AC53" s="67"/>
      <c r="AD53" s="67"/>
      <c r="AE53" s="67"/>
      <c r="AF53" s="67"/>
      <c r="AG53" s="67"/>
      <c r="AI53" s="270" t="str">
        <f t="shared" si="2"/>
        <v/>
      </c>
      <c r="AJ53" s="270" t="str">
        <f t="shared" si="3"/>
        <v/>
      </c>
      <c r="AK53" s="271">
        <f t="shared" si="12"/>
        <v>0</v>
      </c>
      <c r="AL53" s="270" t="str">
        <f t="shared" si="4"/>
        <v/>
      </c>
      <c r="AM53" s="270">
        <f t="shared" si="5"/>
        <v>0</v>
      </c>
      <c r="AN53" s="270" t="str">
        <f t="shared" si="6"/>
        <v/>
      </c>
      <c r="AO53" s="270">
        <f t="shared" si="7"/>
        <v>0</v>
      </c>
      <c r="AP53" s="270" t="str">
        <f t="shared" si="8"/>
        <v/>
      </c>
      <c r="AQ53" s="270">
        <f t="shared" si="9"/>
        <v>0</v>
      </c>
      <c r="AR53" s="270">
        <f t="shared" si="10"/>
        <v>0</v>
      </c>
      <c r="AS53" s="270">
        <f t="shared" si="11"/>
        <v>0</v>
      </c>
    </row>
    <row r="54" spans="1:45" s="48" customFormat="1" hidden="1">
      <c r="A54" s="146"/>
      <c r="B54" s="317"/>
      <c r="C54" s="63"/>
      <c r="D54" s="322"/>
      <c r="E54" s="320"/>
      <c r="F54" s="321"/>
      <c r="G54" s="401"/>
      <c r="H54" s="272"/>
      <c r="I54" s="63"/>
      <c r="J54" s="321"/>
      <c r="K54" s="272"/>
      <c r="L54" s="272"/>
      <c r="M54" s="272"/>
      <c r="N54" s="65"/>
      <c r="O54" s="62"/>
      <c r="P54" s="68"/>
      <c r="Q54" s="273"/>
      <c r="R54" s="274" t="str">
        <f>IF(ISERROR(IF(P54&gt;0,DATEDIF(P54,MIN(CAM!$D$4,Q54),"m"),"")),0,IF(P54&gt;0,DATEDIF(P54,MIN(CAM!$D$4,Q54),"m"),""))</f>
        <v/>
      </c>
      <c r="S54" s="274">
        <f t="shared" si="1"/>
        <v>0</v>
      </c>
      <c r="T54" s="63"/>
      <c r="U54" s="62"/>
      <c r="V54" s="67"/>
      <c r="W54" s="67"/>
      <c r="X54" s="67"/>
      <c r="Y54" s="67"/>
      <c r="Z54" s="67"/>
      <c r="AA54" s="67"/>
      <c r="AB54" s="67"/>
      <c r="AC54" s="67"/>
      <c r="AD54" s="67"/>
      <c r="AE54" s="67"/>
      <c r="AF54" s="67"/>
      <c r="AG54" s="67"/>
      <c r="AI54" s="270" t="str">
        <f t="shared" si="2"/>
        <v/>
      </c>
      <c r="AJ54" s="270" t="str">
        <f t="shared" si="3"/>
        <v/>
      </c>
      <c r="AK54" s="271">
        <f t="shared" si="12"/>
        <v>0</v>
      </c>
      <c r="AL54" s="270" t="str">
        <f t="shared" si="4"/>
        <v/>
      </c>
      <c r="AM54" s="270">
        <f t="shared" si="5"/>
        <v>0</v>
      </c>
      <c r="AN54" s="270" t="str">
        <f t="shared" si="6"/>
        <v/>
      </c>
      <c r="AO54" s="270">
        <f t="shared" si="7"/>
        <v>0</v>
      </c>
      <c r="AP54" s="270" t="str">
        <f t="shared" si="8"/>
        <v/>
      </c>
      <c r="AQ54" s="270">
        <f t="shared" si="9"/>
        <v>0</v>
      </c>
      <c r="AR54" s="270">
        <f t="shared" si="10"/>
        <v>0</v>
      </c>
      <c r="AS54" s="270">
        <f t="shared" si="11"/>
        <v>0</v>
      </c>
    </row>
    <row r="55" spans="1:45" s="48" customFormat="1" hidden="1">
      <c r="A55" s="146"/>
      <c r="B55" s="317"/>
      <c r="C55" s="63"/>
      <c r="D55" s="322"/>
      <c r="E55" s="320"/>
      <c r="F55" s="321"/>
      <c r="G55" s="401"/>
      <c r="H55" s="272"/>
      <c r="I55" s="63"/>
      <c r="J55" s="321"/>
      <c r="K55" s="272"/>
      <c r="L55" s="272"/>
      <c r="M55" s="272"/>
      <c r="N55" s="65"/>
      <c r="O55" s="62"/>
      <c r="P55" s="68"/>
      <c r="Q55" s="273"/>
      <c r="R55" s="274" t="str">
        <f>IF(ISERROR(IF(P55&gt;0,DATEDIF(P55,MIN(CAM!$D$4,Q55),"m"),"")),0,IF(P55&gt;0,DATEDIF(P55,MIN(CAM!$D$4,Q55),"m"),""))</f>
        <v/>
      </c>
      <c r="S55" s="274">
        <f t="shared" si="1"/>
        <v>0</v>
      </c>
      <c r="T55" s="63"/>
      <c r="U55" s="62"/>
      <c r="V55" s="67"/>
      <c r="W55" s="67"/>
      <c r="X55" s="67"/>
      <c r="Y55" s="67"/>
      <c r="Z55" s="67"/>
      <c r="AA55" s="67"/>
      <c r="AB55" s="67"/>
      <c r="AC55" s="67"/>
      <c r="AD55" s="67"/>
      <c r="AE55" s="67"/>
      <c r="AF55" s="67"/>
      <c r="AG55" s="67"/>
      <c r="AI55" s="270" t="str">
        <f t="shared" si="2"/>
        <v/>
      </c>
      <c r="AJ55" s="270" t="str">
        <f t="shared" si="3"/>
        <v/>
      </c>
      <c r="AK55" s="271">
        <f t="shared" si="12"/>
        <v>0</v>
      </c>
      <c r="AL55" s="270" t="str">
        <f t="shared" si="4"/>
        <v/>
      </c>
      <c r="AM55" s="270">
        <f t="shared" si="5"/>
        <v>0</v>
      </c>
      <c r="AN55" s="270" t="str">
        <f t="shared" si="6"/>
        <v/>
      </c>
      <c r="AO55" s="270">
        <f t="shared" si="7"/>
        <v>0</v>
      </c>
      <c r="AP55" s="270" t="str">
        <f t="shared" si="8"/>
        <v/>
      </c>
      <c r="AQ55" s="270">
        <f t="shared" si="9"/>
        <v>0</v>
      </c>
      <c r="AR55" s="270">
        <f t="shared" si="10"/>
        <v>0</v>
      </c>
      <c r="AS55" s="270">
        <f t="shared" si="11"/>
        <v>0</v>
      </c>
    </row>
    <row r="56" spans="1:45" s="48" customFormat="1" hidden="1">
      <c r="A56" s="146"/>
      <c r="B56" s="317"/>
      <c r="C56" s="63"/>
      <c r="D56" s="322"/>
      <c r="E56" s="320"/>
      <c r="F56" s="321"/>
      <c r="G56" s="401"/>
      <c r="H56" s="272"/>
      <c r="I56" s="63"/>
      <c r="J56" s="321"/>
      <c r="K56" s="272"/>
      <c r="L56" s="272"/>
      <c r="M56" s="272"/>
      <c r="N56" s="65"/>
      <c r="O56" s="62"/>
      <c r="P56" s="68"/>
      <c r="Q56" s="273"/>
      <c r="R56" s="274" t="str">
        <f>IF(ISERROR(IF(P56&gt;0,DATEDIF(P56,MIN(CAM!$D$4,Q56),"m"),"")),0,IF(P56&gt;0,DATEDIF(P56,MIN(CAM!$D$4,Q56),"m"),""))</f>
        <v/>
      </c>
      <c r="S56" s="274">
        <f t="shared" si="1"/>
        <v>0</v>
      </c>
      <c r="T56" s="63"/>
      <c r="U56" s="62"/>
      <c r="V56" s="67"/>
      <c r="W56" s="67"/>
      <c r="X56" s="67"/>
      <c r="Y56" s="67"/>
      <c r="Z56" s="67"/>
      <c r="AA56" s="67"/>
      <c r="AB56" s="67"/>
      <c r="AC56" s="67"/>
      <c r="AD56" s="67"/>
      <c r="AE56" s="67"/>
      <c r="AF56" s="67"/>
      <c r="AG56" s="67"/>
      <c r="AI56" s="270" t="str">
        <f t="shared" si="2"/>
        <v/>
      </c>
      <c r="AJ56" s="270" t="str">
        <f t="shared" si="3"/>
        <v/>
      </c>
      <c r="AK56" s="271">
        <f t="shared" si="12"/>
        <v>0</v>
      </c>
      <c r="AL56" s="270" t="str">
        <f t="shared" si="4"/>
        <v/>
      </c>
      <c r="AM56" s="270">
        <f t="shared" si="5"/>
        <v>0</v>
      </c>
      <c r="AN56" s="270" t="str">
        <f t="shared" si="6"/>
        <v/>
      </c>
      <c r="AO56" s="270">
        <f t="shared" si="7"/>
        <v>0</v>
      </c>
      <c r="AP56" s="270" t="str">
        <f t="shared" si="8"/>
        <v/>
      </c>
      <c r="AQ56" s="270">
        <f t="shared" si="9"/>
        <v>0</v>
      </c>
      <c r="AR56" s="270">
        <f t="shared" si="10"/>
        <v>0</v>
      </c>
      <c r="AS56" s="270">
        <f t="shared" si="11"/>
        <v>0</v>
      </c>
    </row>
    <row r="57" spans="1:45" s="48" customFormat="1" hidden="1">
      <c r="A57" s="146"/>
      <c r="B57" s="317"/>
      <c r="C57" s="63"/>
      <c r="D57" s="322"/>
      <c r="E57" s="320"/>
      <c r="F57" s="321"/>
      <c r="G57" s="401"/>
      <c r="H57" s="272"/>
      <c r="I57" s="63"/>
      <c r="J57" s="321"/>
      <c r="K57" s="272"/>
      <c r="L57" s="272"/>
      <c r="M57" s="272"/>
      <c r="N57" s="65"/>
      <c r="O57" s="62"/>
      <c r="P57" s="68"/>
      <c r="Q57" s="273"/>
      <c r="R57" s="274" t="str">
        <f>IF(ISERROR(IF(P57&gt;0,DATEDIF(P57,MIN(CAM!$D$4,Q57),"m"),"")),0,IF(P57&gt;0,DATEDIF(P57,MIN(CAM!$D$4,Q57),"m"),""))</f>
        <v/>
      </c>
      <c r="S57" s="274">
        <f t="shared" si="1"/>
        <v>0</v>
      </c>
      <c r="T57" s="63"/>
      <c r="U57" s="62"/>
      <c r="V57" s="67"/>
      <c r="W57" s="67"/>
      <c r="X57" s="67"/>
      <c r="Y57" s="67"/>
      <c r="Z57" s="67"/>
      <c r="AA57" s="67"/>
      <c r="AB57" s="67"/>
      <c r="AC57" s="67"/>
      <c r="AD57" s="67"/>
      <c r="AE57" s="67"/>
      <c r="AF57" s="67"/>
      <c r="AG57" s="67"/>
      <c r="AI57" s="270" t="str">
        <f t="shared" si="2"/>
        <v/>
      </c>
      <c r="AJ57" s="270" t="str">
        <f t="shared" si="3"/>
        <v/>
      </c>
      <c r="AK57" s="271">
        <f t="shared" si="12"/>
        <v>0</v>
      </c>
      <c r="AL57" s="270" t="str">
        <f t="shared" si="4"/>
        <v/>
      </c>
      <c r="AM57" s="270">
        <f t="shared" si="5"/>
        <v>0</v>
      </c>
      <c r="AN57" s="270" t="str">
        <f t="shared" si="6"/>
        <v/>
      </c>
      <c r="AO57" s="270">
        <f t="shared" si="7"/>
        <v>0</v>
      </c>
      <c r="AP57" s="270" t="str">
        <f t="shared" si="8"/>
        <v/>
      </c>
      <c r="AQ57" s="270">
        <f t="shared" si="9"/>
        <v>0</v>
      </c>
      <c r="AR57" s="270">
        <f t="shared" si="10"/>
        <v>0</v>
      </c>
      <c r="AS57" s="270">
        <f t="shared" si="11"/>
        <v>0</v>
      </c>
    </row>
    <row r="58" spans="1:45" s="48" customFormat="1" hidden="1">
      <c r="A58" s="146"/>
      <c r="B58" s="317"/>
      <c r="C58" s="63"/>
      <c r="D58" s="322"/>
      <c r="E58" s="320"/>
      <c r="F58" s="321"/>
      <c r="G58" s="401"/>
      <c r="H58" s="272"/>
      <c r="I58" s="63"/>
      <c r="J58" s="321"/>
      <c r="K58" s="272"/>
      <c r="L58" s="272"/>
      <c r="M58" s="272"/>
      <c r="N58" s="65"/>
      <c r="O58" s="62"/>
      <c r="P58" s="68"/>
      <c r="Q58" s="273"/>
      <c r="R58" s="274" t="str">
        <f>IF(ISERROR(IF(P58&gt;0,DATEDIF(P58,MIN(CAM!$D$4,Q58),"m"),"")),0,IF(P58&gt;0,DATEDIF(P58,MIN(CAM!$D$4,Q58),"m"),""))</f>
        <v/>
      </c>
      <c r="S58" s="274">
        <f t="shared" si="1"/>
        <v>0</v>
      </c>
      <c r="T58" s="63"/>
      <c r="U58" s="62"/>
      <c r="V58" s="67"/>
      <c r="W58" s="67"/>
      <c r="X58" s="67"/>
      <c r="Y58" s="67"/>
      <c r="Z58" s="67"/>
      <c r="AA58" s="67"/>
      <c r="AB58" s="67"/>
      <c r="AC58" s="67"/>
      <c r="AD58" s="67"/>
      <c r="AE58" s="67"/>
      <c r="AF58" s="67"/>
      <c r="AG58" s="67"/>
      <c r="AI58" s="270" t="str">
        <f t="shared" si="2"/>
        <v/>
      </c>
      <c r="AJ58" s="270" t="str">
        <f t="shared" si="3"/>
        <v/>
      </c>
      <c r="AK58" s="271">
        <f t="shared" si="12"/>
        <v>0</v>
      </c>
      <c r="AL58" s="270" t="str">
        <f t="shared" si="4"/>
        <v/>
      </c>
      <c r="AM58" s="270">
        <f t="shared" si="5"/>
        <v>0</v>
      </c>
      <c r="AN58" s="270" t="str">
        <f t="shared" si="6"/>
        <v/>
      </c>
      <c r="AO58" s="270">
        <f t="shared" si="7"/>
        <v>0</v>
      </c>
      <c r="AP58" s="270" t="str">
        <f t="shared" si="8"/>
        <v/>
      </c>
      <c r="AQ58" s="270">
        <f t="shared" si="9"/>
        <v>0</v>
      </c>
      <c r="AR58" s="270">
        <f t="shared" si="10"/>
        <v>0</v>
      </c>
      <c r="AS58" s="270">
        <f t="shared" si="11"/>
        <v>0</v>
      </c>
    </row>
    <row r="59" spans="1:45" s="48" customFormat="1" hidden="1">
      <c r="A59" s="146"/>
      <c r="B59" s="317"/>
      <c r="C59" s="63"/>
      <c r="D59" s="322"/>
      <c r="E59" s="320"/>
      <c r="F59" s="321"/>
      <c r="G59" s="401"/>
      <c r="H59" s="272"/>
      <c r="I59" s="63"/>
      <c r="J59" s="321"/>
      <c r="K59" s="272"/>
      <c r="L59" s="272"/>
      <c r="M59" s="272"/>
      <c r="N59" s="65"/>
      <c r="O59" s="62"/>
      <c r="P59" s="68"/>
      <c r="Q59" s="273"/>
      <c r="R59" s="274" t="str">
        <f>IF(ISERROR(IF(P59&gt;0,DATEDIF(P59,MIN(CAM!$D$4,Q59),"m"),"")),0,IF(P59&gt;0,DATEDIF(P59,MIN(CAM!$D$4,Q59),"m"),""))</f>
        <v/>
      </c>
      <c r="S59" s="274">
        <f t="shared" si="1"/>
        <v>0</v>
      </c>
      <c r="T59" s="63"/>
      <c r="U59" s="62"/>
      <c r="V59" s="67"/>
      <c r="W59" s="67"/>
      <c r="X59" s="67"/>
      <c r="Y59" s="67"/>
      <c r="Z59" s="67"/>
      <c r="AA59" s="67"/>
      <c r="AB59" s="67"/>
      <c r="AC59" s="67"/>
      <c r="AD59" s="67"/>
      <c r="AE59" s="67"/>
      <c r="AF59" s="67"/>
      <c r="AG59" s="67"/>
      <c r="AI59" s="270" t="str">
        <f t="shared" si="2"/>
        <v/>
      </c>
      <c r="AJ59" s="270" t="str">
        <f t="shared" si="3"/>
        <v/>
      </c>
      <c r="AK59" s="271">
        <f t="shared" si="12"/>
        <v>0</v>
      </c>
      <c r="AL59" s="270" t="str">
        <f t="shared" si="4"/>
        <v/>
      </c>
      <c r="AM59" s="270">
        <f t="shared" si="5"/>
        <v>0</v>
      </c>
      <c r="AN59" s="270" t="str">
        <f t="shared" si="6"/>
        <v/>
      </c>
      <c r="AO59" s="270">
        <f t="shared" si="7"/>
        <v>0</v>
      </c>
      <c r="AP59" s="270" t="str">
        <f t="shared" si="8"/>
        <v/>
      </c>
      <c r="AQ59" s="270">
        <f t="shared" si="9"/>
        <v>0</v>
      </c>
      <c r="AR59" s="270">
        <f t="shared" si="10"/>
        <v>0</v>
      </c>
      <c r="AS59" s="270">
        <f t="shared" si="11"/>
        <v>0</v>
      </c>
    </row>
    <row r="60" spans="1:45" s="48" customFormat="1" hidden="1">
      <c r="A60" s="146"/>
      <c r="B60" s="317"/>
      <c r="C60" s="63"/>
      <c r="D60" s="322"/>
      <c r="E60" s="320"/>
      <c r="F60" s="321"/>
      <c r="G60" s="401"/>
      <c r="H60" s="272"/>
      <c r="I60" s="63"/>
      <c r="J60" s="321"/>
      <c r="K60" s="272"/>
      <c r="L60" s="272"/>
      <c r="M60" s="272"/>
      <c r="N60" s="65"/>
      <c r="O60" s="62"/>
      <c r="P60" s="68"/>
      <c r="Q60" s="273"/>
      <c r="R60" s="274" t="str">
        <f>IF(ISERROR(IF(P60&gt;0,DATEDIF(P60,MIN(CAM!$D$4,Q60),"m"),"")),0,IF(P60&gt;0,DATEDIF(P60,MIN(CAM!$D$4,Q60),"m"),""))</f>
        <v/>
      </c>
      <c r="S60" s="274">
        <f t="shared" si="1"/>
        <v>0</v>
      </c>
      <c r="T60" s="63"/>
      <c r="U60" s="62"/>
      <c r="V60" s="67"/>
      <c r="W60" s="67"/>
      <c r="X60" s="67"/>
      <c r="Y60" s="67"/>
      <c r="Z60" s="67"/>
      <c r="AA60" s="67"/>
      <c r="AB60" s="67"/>
      <c r="AC60" s="67"/>
      <c r="AD60" s="67"/>
      <c r="AE60" s="67"/>
      <c r="AF60" s="67"/>
      <c r="AG60" s="67"/>
      <c r="AI60" s="270" t="str">
        <f t="shared" si="2"/>
        <v/>
      </c>
      <c r="AJ60" s="270" t="str">
        <f t="shared" si="3"/>
        <v/>
      </c>
      <c r="AK60" s="271">
        <f t="shared" si="12"/>
        <v>0</v>
      </c>
      <c r="AL60" s="270" t="str">
        <f t="shared" si="4"/>
        <v/>
      </c>
      <c r="AM60" s="270">
        <f t="shared" si="5"/>
        <v>0</v>
      </c>
      <c r="AN60" s="270" t="str">
        <f t="shared" si="6"/>
        <v/>
      </c>
      <c r="AO60" s="270">
        <f t="shared" si="7"/>
        <v>0</v>
      </c>
      <c r="AP60" s="270" t="str">
        <f t="shared" si="8"/>
        <v/>
      </c>
      <c r="AQ60" s="270">
        <f t="shared" si="9"/>
        <v>0</v>
      </c>
      <c r="AR60" s="270">
        <f t="shared" si="10"/>
        <v>0</v>
      </c>
      <c r="AS60" s="270">
        <f t="shared" si="11"/>
        <v>0</v>
      </c>
    </row>
    <row r="61" spans="1:45" s="48" customFormat="1" hidden="1">
      <c r="A61" s="146"/>
      <c r="B61" s="317"/>
      <c r="C61" s="63"/>
      <c r="D61" s="322"/>
      <c r="E61" s="320"/>
      <c r="F61" s="321"/>
      <c r="G61" s="401"/>
      <c r="H61" s="272"/>
      <c r="I61" s="63"/>
      <c r="J61" s="321"/>
      <c r="K61" s="272"/>
      <c r="L61" s="272"/>
      <c r="M61" s="272"/>
      <c r="N61" s="65"/>
      <c r="O61" s="62"/>
      <c r="P61" s="68"/>
      <c r="Q61" s="273"/>
      <c r="R61" s="274" t="str">
        <f>IF(ISERROR(IF(P61&gt;0,DATEDIF(P61,MIN(CAM!$D$4,Q61),"m"),"")),0,IF(P61&gt;0,DATEDIF(P61,MIN(CAM!$D$4,Q61),"m"),""))</f>
        <v/>
      </c>
      <c r="S61" s="274">
        <f t="shared" si="1"/>
        <v>0</v>
      </c>
      <c r="T61" s="63"/>
      <c r="U61" s="62"/>
      <c r="V61" s="67"/>
      <c r="W61" s="67"/>
      <c r="X61" s="67"/>
      <c r="Y61" s="67"/>
      <c r="Z61" s="67"/>
      <c r="AA61" s="67"/>
      <c r="AB61" s="67"/>
      <c r="AC61" s="67"/>
      <c r="AD61" s="67"/>
      <c r="AE61" s="67"/>
      <c r="AF61" s="67"/>
      <c r="AG61" s="67"/>
      <c r="AI61" s="270" t="str">
        <f t="shared" si="2"/>
        <v/>
      </c>
      <c r="AJ61" s="270" t="str">
        <f t="shared" si="3"/>
        <v/>
      </c>
      <c r="AK61" s="271">
        <f t="shared" si="12"/>
        <v>0</v>
      </c>
      <c r="AL61" s="270" t="str">
        <f t="shared" si="4"/>
        <v/>
      </c>
      <c r="AM61" s="270">
        <f t="shared" si="5"/>
        <v>0</v>
      </c>
      <c r="AN61" s="270" t="str">
        <f t="shared" si="6"/>
        <v/>
      </c>
      <c r="AO61" s="270">
        <f t="shared" si="7"/>
        <v>0</v>
      </c>
      <c r="AP61" s="270" t="str">
        <f t="shared" si="8"/>
        <v/>
      </c>
      <c r="AQ61" s="270">
        <f t="shared" si="9"/>
        <v>0</v>
      </c>
      <c r="AR61" s="270">
        <f t="shared" si="10"/>
        <v>0</v>
      </c>
      <c r="AS61" s="270">
        <f t="shared" si="11"/>
        <v>0</v>
      </c>
    </row>
    <row r="62" spans="1:45" s="48" customFormat="1" hidden="1">
      <c r="A62" s="146"/>
      <c r="B62" s="317"/>
      <c r="C62" s="63"/>
      <c r="D62" s="322"/>
      <c r="E62" s="320"/>
      <c r="F62" s="321"/>
      <c r="G62" s="401"/>
      <c r="H62" s="272"/>
      <c r="I62" s="63"/>
      <c r="J62" s="321"/>
      <c r="K62" s="272"/>
      <c r="L62" s="272"/>
      <c r="M62" s="272"/>
      <c r="N62" s="65"/>
      <c r="O62" s="62"/>
      <c r="P62" s="68"/>
      <c r="Q62" s="273"/>
      <c r="R62" s="274" t="str">
        <f>IF(ISERROR(IF(P62&gt;0,DATEDIF(P62,MIN(CAM!$D$4,Q62),"m"),"")),0,IF(P62&gt;0,DATEDIF(P62,MIN(CAM!$D$4,Q62),"m"),""))</f>
        <v/>
      </c>
      <c r="S62" s="274">
        <f t="shared" si="1"/>
        <v>0</v>
      </c>
      <c r="T62" s="63"/>
      <c r="U62" s="62"/>
      <c r="V62" s="67"/>
      <c r="W62" s="67"/>
      <c r="X62" s="67"/>
      <c r="Y62" s="67"/>
      <c r="Z62" s="67"/>
      <c r="AA62" s="67"/>
      <c r="AB62" s="67"/>
      <c r="AC62" s="67"/>
      <c r="AD62" s="67"/>
      <c r="AE62" s="67"/>
      <c r="AF62" s="67"/>
      <c r="AG62" s="67"/>
      <c r="AI62" s="270" t="str">
        <f t="shared" si="2"/>
        <v/>
      </c>
      <c r="AJ62" s="270" t="str">
        <f t="shared" si="3"/>
        <v/>
      </c>
      <c r="AK62" s="271">
        <f t="shared" si="12"/>
        <v>0</v>
      </c>
      <c r="AL62" s="270" t="str">
        <f t="shared" si="4"/>
        <v/>
      </c>
      <c r="AM62" s="270">
        <f t="shared" si="5"/>
        <v>0</v>
      </c>
      <c r="AN62" s="270" t="str">
        <f t="shared" si="6"/>
        <v/>
      </c>
      <c r="AO62" s="270">
        <f t="shared" si="7"/>
        <v>0</v>
      </c>
      <c r="AP62" s="270" t="str">
        <f t="shared" si="8"/>
        <v/>
      </c>
      <c r="AQ62" s="270">
        <f t="shared" si="9"/>
        <v>0</v>
      </c>
      <c r="AR62" s="270">
        <f t="shared" si="10"/>
        <v>0</v>
      </c>
      <c r="AS62" s="270">
        <f t="shared" si="11"/>
        <v>0</v>
      </c>
    </row>
    <row r="63" spans="1:45" s="48" customFormat="1" hidden="1">
      <c r="A63" s="146"/>
      <c r="B63" s="317"/>
      <c r="C63" s="63"/>
      <c r="D63" s="322"/>
      <c r="E63" s="320"/>
      <c r="F63" s="321"/>
      <c r="G63" s="401"/>
      <c r="H63" s="272"/>
      <c r="I63" s="63"/>
      <c r="J63" s="321"/>
      <c r="K63" s="272"/>
      <c r="L63" s="272"/>
      <c r="M63" s="272"/>
      <c r="N63" s="65"/>
      <c r="O63" s="62"/>
      <c r="P63" s="68"/>
      <c r="Q63" s="273"/>
      <c r="R63" s="274" t="str">
        <f>IF(ISERROR(IF(P63&gt;0,DATEDIF(P63,MIN(CAM!$D$4,Q63),"m"),"")),0,IF(P63&gt;0,DATEDIF(P63,MIN(CAM!$D$4,Q63),"m"),""))</f>
        <v/>
      </c>
      <c r="S63" s="274">
        <f t="shared" si="1"/>
        <v>0</v>
      </c>
      <c r="T63" s="63"/>
      <c r="U63" s="62"/>
      <c r="V63" s="67"/>
      <c r="W63" s="67"/>
      <c r="X63" s="67"/>
      <c r="Y63" s="67"/>
      <c r="Z63" s="67"/>
      <c r="AA63" s="67"/>
      <c r="AB63" s="67"/>
      <c r="AC63" s="67"/>
      <c r="AD63" s="67"/>
      <c r="AE63" s="67"/>
      <c r="AF63" s="67"/>
      <c r="AG63" s="67"/>
      <c r="AI63" s="270" t="str">
        <f t="shared" si="2"/>
        <v/>
      </c>
      <c r="AJ63" s="270" t="str">
        <f t="shared" si="3"/>
        <v/>
      </c>
      <c r="AK63" s="271">
        <f t="shared" si="12"/>
        <v>0</v>
      </c>
      <c r="AL63" s="270" t="str">
        <f t="shared" si="4"/>
        <v/>
      </c>
      <c r="AM63" s="270">
        <f t="shared" si="5"/>
        <v>0</v>
      </c>
      <c r="AN63" s="270" t="str">
        <f t="shared" si="6"/>
        <v/>
      </c>
      <c r="AO63" s="270">
        <f t="shared" si="7"/>
        <v>0</v>
      </c>
      <c r="AP63" s="270" t="str">
        <f t="shared" si="8"/>
        <v/>
      </c>
      <c r="AQ63" s="270">
        <f t="shared" si="9"/>
        <v>0</v>
      </c>
      <c r="AR63" s="270">
        <f t="shared" si="10"/>
        <v>0</v>
      </c>
      <c r="AS63" s="270">
        <f t="shared" si="11"/>
        <v>0</v>
      </c>
    </row>
    <row r="64" spans="1:45" s="48" customFormat="1" hidden="1">
      <c r="A64" s="146"/>
      <c r="B64" s="317"/>
      <c r="C64" s="63"/>
      <c r="D64" s="322"/>
      <c r="E64" s="320"/>
      <c r="F64" s="321"/>
      <c r="G64" s="401"/>
      <c r="H64" s="272"/>
      <c r="I64" s="63"/>
      <c r="J64" s="321"/>
      <c r="K64" s="272"/>
      <c r="L64" s="272"/>
      <c r="M64" s="272"/>
      <c r="N64" s="65"/>
      <c r="O64" s="62"/>
      <c r="P64" s="68"/>
      <c r="Q64" s="273"/>
      <c r="R64" s="274" t="str">
        <f>IF(ISERROR(IF(P64&gt;0,DATEDIF(P64,MIN(CAM!$D$4,Q64),"m"),"")),0,IF(P64&gt;0,DATEDIF(P64,MIN(CAM!$D$4,Q64),"m"),""))</f>
        <v/>
      </c>
      <c r="S64" s="274">
        <f t="shared" si="1"/>
        <v>0</v>
      </c>
      <c r="T64" s="63"/>
      <c r="U64" s="62"/>
      <c r="V64" s="67"/>
      <c r="W64" s="67"/>
      <c r="X64" s="67"/>
      <c r="Y64" s="67"/>
      <c r="Z64" s="67"/>
      <c r="AA64" s="67"/>
      <c r="AB64" s="67"/>
      <c r="AC64" s="67"/>
      <c r="AD64" s="67"/>
      <c r="AE64" s="67"/>
      <c r="AF64" s="67"/>
      <c r="AG64" s="67"/>
      <c r="AI64" s="270" t="str">
        <f t="shared" si="2"/>
        <v/>
      </c>
      <c r="AJ64" s="270" t="str">
        <f t="shared" si="3"/>
        <v/>
      </c>
      <c r="AK64" s="271">
        <f t="shared" si="12"/>
        <v>0</v>
      </c>
      <c r="AL64" s="270" t="str">
        <f t="shared" si="4"/>
        <v/>
      </c>
      <c r="AM64" s="270">
        <f t="shared" si="5"/>
        <v>0</v>
      </c>
      <c r="AN64" s="270" t="str">
        <f t="shared" si="6"/>
        <v/>
      </c>
      <c r="AO64" s="270">
        <f t="shared" si="7"/>
        <v>0</v>
      </c>
      <c r="AP64" s="270" t="str">
        <f t="shared" si="8"/>
        <v/>
      </c>
      <c r="AQ64" s="270">
        <f t="shared" si="9"/>
        <v>0</v>
      </c>
      <c r="AR64" s="270">
        <f t="shared" si="10"/>
        <v>0</v>
      </c>
      <c r="AS64" s="270">
        <f t="shared" si="11"/>
        <v>0</v>
      </c>
    </row>
    <row r="65" spans="1:45" s="48" customFormat="1" hidden="1">
      <c r="A65" s="146"/>
      <c r="B65" s="317"/>
      <c r="C65" s="63"/>
      <c r="D65" s="322"/>
      <c r="E65" s="320"/>
      <c r="F65" s="321"/>
      <c r="G65" s="401"/>
      <c r="H65" s="272"/>
      <c r="I65" s="63"/>
      <c r="J65" s="321"/>
      <c r="K65" s="272"/>
      <c r="L65" s="272"/>
      <c r="M65" s="272"/>
      <c r="N65" s="65"/>
      <c r="O65" s="62"/>
      <c r="P65" s="68"/>
      <c r="Q65" s="273"/>
      <c r="R65" s="274" t="str">
        <f>IF(ISERROR(IF(P65&gt;0,DATEDIF(P65,MIN(CAM!$D$4,Q65),"m"),"")),0,IF(P65&gt;0,DATEDIF(P65,MIN(CAM!$D$4,Q65),"m"),""))</f>
        <v/>
      </c>
      <c r="S65" s="274">
        <f t="shared" si="1"/>
        <v>0</v>
      </c>
      <c r="T65" s="63"/>
      <c r="U65" s="62"/>
      <c r="V65" s="67"/>
      <c r="W65" s="67"/>
      <c r="X65" s="67"/>
      <c r="Y65" s="67"/>
      <c r="Z65" s="67"/>
      <c r="AA65" s="67"/>
      <c r="AB65" s="67"/>
      <c r="AC65" s="67"/>
      <c r="AD65" s="67"/>
      <c r="AE65" s="67"/>
      <c r="AF65" s="67"/>
      <c r="AG65" s="67"/>
      <c r="AI65" s="270" t="str">
        <f t="shared" si="2"/>
        <v/>
      </c>
      <c r="AJ65" s="270" t="str">
        <f t="shared" si="3"/>
        <v/>
      </c>
      <c r="AK65" s="271">
        <f t="shared" si="12"/>
        <v>0</v>
      </c>
      <c r="AL65" s="270" t="str">
        <f t="shared" si="4"/>
        <v/>
      </c>
      <c r="AM65" s="270">
        <f t="shared" si="5"/>
        <v>0</v>
      </c>
      <c r="AN65" s="270" t="str">
        <f t="shared" si="6"/>
        <v/>
      </c>
      <c r="AO65" s="270">
        <f t="shared" si="7"/>
        <v>0</v>
      </c>
      <c r="AP65" s="270" t="str">
        <f t="shared" si="8"/>
        <v/>
      </c>
      <c r="AQ65" s="270">
        <f t="shared" si="9"/>
        <v>0</v>
      </c>
      <c r="AR65" s="270">
        <f t="shared" si="10"/>
        <v>0</v>
      </c>
      <c r="AS65" s="270">
        <f t="shared" si="11"/>
        <v>0</v>
      </c>
    </row>
    <row r="66" spans="1:45" s="48" customFormat="1" hidden="1">
      <c r="A66" s="146"/>
      <c r="B66" s="317"/>
      <c r="C66" s="63"/>
      <c r="D66" s="322"/>
      <c r="E66" s="320"/>
      <c r="F66" s="321"/>
      <c r="G66" s="401"/>
      <c r="H66" s="272"/>
      <c r="I66" s="63"/>
      <c r="J66" s="321"/>
      <c r="K66" s="272"/>
      <c r="L66" s="272"/>
      <c r="M66" s="272"/>
      <c r="N66" s="65"/>
      <c r="O66" s="62"/>
      <c r="P66" s="68"/>
      <c r="Q66" s="273"/>
      <c r="R66" s="274" t="str">
        <f>IF(ISERROR(IF(P66&gt;0,DATEDIF(P66,MIN(CAM!$D$4,Q66),"m"),"")),0,IF(P66&gt;0,DATEDIF(P66,MIN(CAM!$D$4,Q66),"m"),""))</f>
        <v/>
      </c>
      <c r="S66" s="274">
        <f t="shared" si="1"/>
        <v>0</v>
      </c>
      <c r="T66" s="63"/>
      <c r="U66" s="62"/>
      <c r="V66" s="67"/>
      <c r="W66" s="67"/>
      <c r="X66" s="67"/>
      <c r="Y66" s="67"/>
      <c r="Z66" s="67"/>
      <c r="AA66" s="67"/>
      <c r="AB66" s="67"/>
      <c r="AC66" s="67"/>
      <c r="AD66" s="67"/>
      <c r="AE66" s="67"/>
      <c r="AF66" s="67"/>
      <c r="AG66" s="67"/>
      <c r="AI66" s="270" t="str">
        <f t="shared" si="2"/>
        <v/>
      </c>
      <c r="AJ66" s="270" t="str">
        <f t="shared" si="3"/>
        <v/>
      </c>
      <c r="AK66" s="271">
        <f t="shared" si="12"/>
        <v>0</v>
      </c>
      <c r="AL66" s="270" t="str">
        <f t="shared" si="4"/>
        <v/>
      </c>
      <c r="AM66" s="270">
        <f t="shared" si="5"/>
        <v>0</v>
      </c>
      <c r="AN66" s="270" t="str">
        <f t="shared" si="6"/>
        <v/>
      </c>
      <c r="AO66" s="270">
        <f t="shared" si="7"/>
        <v>0</v>
      </c>
      <c r="AP66" s="270" t="str">
        <f t="shared" si="8"/>
        <v/>
      </c>
      <c r="AQ66" s="270">
        <f t="shared" si="9"/>
        <v>0</v>
      </c>
      <c r="AR66" s="270">
        <f t="shared" si="10"/>
        <v>0</v>
      </c>
      <c r="AS66" s="270">
        <f t="shared" si="11"/>
        <v>0</v>
      </c>
    </row>
    <row r="67" spans="1:45" s="48" customFormat="1" hidden="1">
      <c r="A67" s="146"/>
      <c r="B67" s="317"/>
      <c r="C67" s="63"/>
      <c r="D67" s="322"/>
      <c r="E67" s="320"/>
      <c r="F67" s="321"/>
      <c r="G67" s="401"/>
      <c r="H67" s="272"/>
      <c r="I67" s="63"/>
      <c r="J67" s="321"/>
      <c r="K67" s="272"/>
      <c r="L67" s="272"/>
      <c r="M67" s="272"/>
      <c r="N67" s="65"/>
      <c r="O67" s="62"/>
      <c r="P67" s="68"/>
      <c r="Q67" s="273"/>
      <c r="R67" s="274" t="str">
        <f>IF(ISERROR(IF(P67&gt;0,DATEDIF(P67,MIN(CAM!$D$4,Q67),"m"),"")),0,IF(P67&gt;0,DATEDIF(P67,MIN(CAM!$D$4,Q67),"m"),""))</f>
        <v/>
      </c>
      <c r="S67" s="274">
        <f t="shared" si="1"/>
        <v>0</v>
      </c>
      <c r="T67" s="63"/>
      <c r="U67" s="62"/>
      <c r="V67" s="67"/>
      <c r="W67" s="67"/>
      <c r="X67" s="67"/>
      <c r="Y67" s="67"/>
      <c r="Z67" s="67"/>
      <c r="AA67" s="67"/>
      <c r="AB67" s="67"/>
      <c r="AC67" s="67"/>
      <c r="AD67" s="67"/>
      <c r="AE67" s="67"/>
      <c r="AF67" s="67"/>
      <c r="AG67" s="67"/>
      <c r="AI67" s="270" t="str">
        <f t="shared" si="2"/>
        <v/>
      </c>
      <c r="AJ67" s="270" t="str">
        <f t="shared" si="3"/>
        <v/>
      </c>
      <c r="AK67" s="271">
        <f t="shared" si="12"/>
        <v>0</v>
      </c>
      <c r="AL67" s="270" t="str">
        <f t="shared" si="4"/>
        <v/>
      </c>
      <c r="AM67" s="270">
        <f t="shared" si="5"/>
        <v>0</v>
      </c>
      <c r="AN67" s="270" t="str">
        <f t="shared" si="6"/>
        <v/>
      </c>
      <c r="AO67" s="270">
        <f t="shared" si="7"/>
        <v>0</v>
      </c>
      <c r="AP67" s="270" t="str">
        <f t="shared" si="8"/>
        <v/>
      </c>
      <c r="AQ67" s="270">
        <f t="shared" si="9"/>
        <v>0</v>
      </c>
      <c r="AR67" s="270">
        <f t="shared" si="10"/>
        <v>0</v>
      </c>
      <c r="AS67" s="270">
        <f t="shared" si="11"/>
        <v>0</v>
      </c>
    </row>
    <row r="68" spans="1:45" s="48" customFormat="1" hidden="1">
      <c r="A68" s="146"/>
      <c r="B68" s="317"/>
      <c r="C68" s="63"/>
      <c r="D68" s="322"/>
      <c r="E68" s="320"/>
      <c r="F68" s="321"/>
      <c r="G68" s="401"/>
      <c r="H68" s="272"/>
      <c r="I68" s="63"/>
      <c r="J68" s="321"/>
      <c r="K68" s="272"/>
      <c r="L68" s="272"/>
      <c r="M68" s="272"/>
      <c r="N68" s="65"/>
      <c r="O68" s="62"/>
      <c r="P68" s="68"/>
      <c r="Q68" s="273"/>
      <c r="R68" s="274" t="str">
        <f>IF(ISERROR(IF(P68&gt;0,DATEDIF(P68,MIN(CAM!$D$4,Q68),"m"),"")),0,IF(P68&gt;0,DATEDIF(P68,MIN(CAM!$D$4,Q68),"m"),""))</f>
        <v/>
      </c>
      <c r="S68" s="274">
        <f t="shared" si="1"/>
        <v>0</v>
      </c>
      <c r="T68" s="63"/>
      <c r="U68" s="62"/>
      <c r="V68" s="67"/>
      <c r="W68" s="67"/>
      <c r="X68" s="67"/>
      <c r="Y68" s="67"/>
      <c r="Z68" s="67"/>
      <c r="AA68" s="67"/>
      <c r="AB68" s="67"/>
      <c r="AC68" s="67"/>
      <c r="AD68" s="67"/>
      <c r="AE68" s="67"/>
      <c r="AF68" s="67"/>
      <c r="AG68" s="67"/>
      <c r="AI68" s="270" t="str">
        <f t="shared" si="2"/>
        <v/>
      </c>
      <c r="AJ68" s="270" t="str">
        <f t="shared" si="3"/>
        <v/>
      </c>
      <c r="AK68" s="271">
        <f t="shared" si="12"/>
        <v>0</v>
      </c>
      <c r="AL68" s="270" t="str">
        <f t="shared" si="4"/>
        <v/>
      </c>
      <c r="AM68" s="270">
        <f t="shared" si="5"/>
        <v>0</v>
      </c>
      <c r="AN68" s="270" t="str">
        <f t="shared" si="6"/>
        <v/>
      </c>
      <c r="AO68" s="270">
        <f t="shared" si="7"/>
        <v>0</v>
      </c>
      <c r="AP68" s="270" t="str">
        <f t="shared" si="8"/>
        <v/>
      </c>
      <c r="AQ68" s="270">
        <f t="shared" si="9"/>
        <v>0</v>
      </c>
      <c r="AR68" s="270">
        <f t="shared" si="10"/>
        <v>0</v>
      </c>
      <c r="AS68" s="270">
        <f t="shared" si="11"/>
        <v>0</v>
      </c>
    </row>
    <row r="69" spans="1:45" s="48" customFormat="1" hidden="1">
      <c r="A69" s="146"/>
      <c r="B69" s="317"/>
      <c r="C69" s="63"/>
      <c r="D69" s="322"/>
      <c r="E69" s="320"/>
      <c r="F69" s="321"/>
      <c r="G69" s="401"/>
      <c r="H69" s="272"/>
      <c r="I69" s="63"/>
      <c r="J69" s="321"/>
      <c r="K69" s="272"/>
      <c r="L69" s="272"/>
      <c r="M69" s="272"/>
      <c r="N69" s="65"/>
      <c r="O69" s="62"/>
      <c r="P69" s="68"/>
      <c r="Q69" s="273"/>
      <c r="R69" s="274" t="str">
        <f>IF(ISERROR(IF(P69&gt;0,DATEDIF(P69,MIN(CAM!$D$4,Q69),"m"),"")),0,IF(P69&gt;0,DATEDIF(P69,MIN(CAM!$D$4,Q69),"m"),""))</f>
        <v/>
      </c>
      <c r="S69" s="274">
        <f t="shared" si="1"/>
        <v>0</v>
      </c>
      <c r="T69" s="63"/>
      <c r="U69" s="62"/>
      <c r="V69" s="67"/>
      <c r="W69" s="67"/>
      <c r="X69" s="67"/>
      <c r="Y69" s="67"/>
      <c r="Z69" s="67"/>
      <c r="AA69" s="67"/>
      <c r="AB69" s="67"/>
      <c r="AC69" s="67"/>
      <c r="AD69" s="67"/>
      <c r="AE69" s="67"/>
      <c r="AF69" s="67"/>
      <c r="AG69" s="67"/>
      <c r="AI69" s="270" t="str">
        <f t="shared" si="2"/>
        <v/>
      </c>
      <c r="AJ69" s="270" t="str">
        <f t="shared" si="3"/>
        <v/>
      </c>
      <c r="AK69" s="271">
        <f t="shared" si="12"/>
        <v>0</v>
      </c>
      <c r="AL69" s="270" t="str">
        <f t="shared" si="4"/>
        <v/>
      </c>
      <c r="AM69" s="270">
        <f t="shared" si="5"/>
        <v>0</v>
      </c>
      <c r="AN69" s="270" t="str">
        <f t="shared" si="6"/>
        <v/>
      </c>
      <c r="AO69" s="270">
        <f t="shared" si="7"/>
        <v>0</v>
      </c>
      <c r="AP69" s="270" t="str">
        <f t="shared" si="8"/>
        <v/>
      </c>
      <c r="AQ69" s="270">
        <f t="shared" si="9"/>
        <v>0</v>
      </c>
      <c r="AR69" s="270">
        <f t="shared" si="10"/>
        <v>0</v>
      </c>
      <c r="AS69" s="270">
        <f t="shared" si="11"/>
        <v>0</v>
      </c>
    </row>
    <row r="70" spans="1:45" s="48" customFormat="1" hidden="1">
      <c r="A70" s="146"/>
      <c r="B70" s="317"/>
      <c r="C70" s="63"/>
      <c r="D70" s="322"/>
      <c r="E70" s="320"/>
      <c r="F70" s="321"/>
      <c r="G70" s="401"/>
      <c r="H70" s="272"/>
      <c r="I70" s="63"/>
      <c r="J70" s="321"/>
      <c r="K70" s="272"/>
      <c r="L70" s="272"/>
      <c r="M70" s="272"/>
      <c r="N70" s="65"/>
      <c r="O70" s="62"/>
      <c r="P70" s="68"/>
      <c r="Q70" s="273"/>
      <c r="R70" s="274" t="str">
        <f>IF(ISERROR(IF(P70&gt;0,DATEDIF(P70,MIN(CAM!$D$4,Q70),"m"),"")),0,IF(P70&gt;0,DATEDIF(P70,MIN(CAM!$D$4,Q70),"m"),""))</f>
        <v/>
      </c>
      <c r="S70" s="274">
        <f t="shared" si="1"/>
        <v>0</v>
      </c>
      <c r="T70" s="63"/>
      <c r="U70" s="62"/>
      <c r="V70" s="67"/>
      <c r="W70" s="67"/>
      <c r="X70" s="67"/>
      <c r="Y70" s="67"/>
      <c r="Z70" s="67"/>
      <c r="AA70" s="67"/>
      <c r="AB70" s="67"/>
      <c r="AC70" s="67"/>
      <c r="AD70" s="67"/>
      <c r="AE70" s="67"/>
      <c r="AF70" s="67"/>
      <c r="AG70" s="67"/>
      <c r="AI70" s="270" t="str">
        <f t="shared" si="2"/>
        <v/>
      </c>
      <c r="AJ70" s="270" t="str">
        <f t="shared" si="3"/>
        <v/>
      </c>
      <c r="AK70" s="271">
        <f t="shared" si="12"/>
        <v>0</v>
      </c>
      <c r="AL70" s="270" t="str">
        <f t="shared" si="4"/>
        <v/>
      </c>
      <c r="AM70" s="270">
        <f t="shared" si="5"/>
        <v>0</v>
      </c>
      <c r="AN70" s="270" t="str">
        <f t="shared" si="6"/>
        <v/>
      </c>
      <c r="AO70" s="270">
        <f t="shared" si="7"/>
        <v>0</v>
      </c>
      <c r="AP70" s="270" t="str">
        <f t="shared" si="8"/>
        <v/>
      </c>
      <c r="AQ70" s="270">
        <f t="shared" si="9"/>
        <v>0</v>
      </c>
      <c r="AR70" s="270">
        <f t="shared" si="10"/>
        <v>0</v>
      </c>
      <c r="AS70" s="270">
        <f t="shared" si="11"/>
        <v>0</v>
      </c>
    </row>
    <row r="71" spans="1:45" s="48" customFormat="1" hidden="1">
      <c r="A71" s="146"/>
      <c r="B71" s="317"/>
      <c r="C71" s="63"/>
      <c r="D71" s="322"/>
      <c r="E71" s="320"/>
      <c r="F71" s="321"/>
      <c r="G71" s="401"/>
      <c r="H71" s="272"/>
      <c r="I71" s="63"/>
      <c r="J71" s="321"/>
      <c r="K71" s="272"/>
      <c r="L71" s="272"/>
      <c r="M71" s="272"/>
      <c r="N71" s="65"/>
      <c r="O71" s="62"/>
      <c r="P71" s="68"/>
      <c r="Q71" s="273"/>
      <c r="R71" s="274" t="str">
        <f>IF(ISERROR(IF(P71&gt;0,DATEDIF(P71,MIN(CAM!$D$4,Q71),"m"),"")),0,IF(P71&gt;0,DATEDIF(P71,MIN(CAM!$D$4,Q71),"m"),""))</f>
        <v/>
      </c>
      <c r="S71" s="274">
        <f t="shared" si="1"/>
        <v>0</v>
      </c>
      <c r="T71" s="63"/>
      <c r="U71" s="62"/>
      <c r="V71" s="67"/>
      <c r="W71" s="67"/>
      <c r="X71" s="67"/>
      <c r="Y71" s="67"/>
      <c r="Z71" s="67"/>
      <c r="AA71" s="67"/>
      <c r="AB71" s="67"/>
      <c r="AC71" s="67"/>
      <c r="AD71" s="67"/>
      <c r="AE71" s="67"/>
      <c r="AF71" s="67"/>
      <c r="AG71" s="67"/>
      <c r="AI71" s="270" t="str">
        <f t="shared" si="2"/>
        <v/>
      </c>
      <c r="AJ71" s="270" t="str">
        <f t="shared" si="3"/>
        <v/>
      </c>
      <c r="AK71" s="271">
        <f t="shared" si="12"/>
        <v>0</v>
      </c>
      <c r="AL71" s="270" t="str">
        <f t="shared" si="4"/>
        <v/>
      </c>
      <c r="AM71" s="270">
        <f t="shared" si="5"/>
        <v>0</v>
      </c>
      <c r="AN71" s="270" t="str">
        <f t="shared" si="6"/>
        <v/>
      </c>
      <c r="AO71" s="270">
        <f t="shared" si="7"/>
        <v>0</v>
      </c>
      <c r="AP71" s="270" t="str">
        <f t="shared" si="8"/>
        <v/>
      </c>
      <c r="AQ71" s="270">
        <f t="shared" si="9"/>
        <v>0</v>
      </c>
      <c r="AR71" s="270">
        <f t="shared" si="10"/>
        <v>0</v>
      </c>
      <c r="AS71" s="270">
        <f t="shared" si="11"/>
        <v>0</v>
      </c>
    </row>
    <row r="72" spans="1:45" s="48" customFormat="1" hidden="1">
      <c r="A72" s="146"/>
      <c r="B72" s="317"/>
      <c r="C72" s="63"/>
      <c r="D72" s="322"/>
      <c r="E72" s="320"/>
      <c r="F72" s="321"/>
      <c r="G72" s="401"/>
      <c r="H72" s="272"/>
      <c r="I72" s="63"/>
      <c r="J72" s="321"/>
      <c r="K72" s="272"/>
      <c r="L72" s="272"/>
      <c r="M72" s="272"/>
      <c r="N72" s="65"/>
      <c r="O72" s="62"/>
      <c r="P72" s="68"/>
      <c r="Q72" s="273"/>
      <c r="R72" s="274" t="str">
        <f>IF(ISERROR(IF(P72&gt;0,DATEDIF(P72,MIN(CAM!$D$4,Q72),"m"),"")),0,IF(P72&gt;0,DATEDIF(P72,MIN(CAM!$D$4,Q72),"m"),""))</f>
        <v/>
      </c>
      <c r="S72" s="274">
        <f t="shared" ref="S72:S106" si="13">IF(O72=R72,0,O72-R72)</f>
        <v>0</v>
      </c>
      <c r="T72" s="63"/>
      <c r="U72" s="62"/>
      <c r="V72" s="67"/>
      <c r="W72" s="67"/>
      <c r="X72" s="67"/>
      <c r="Y72" s="67"/>
      <c r="Z72" s="67"/>
      <c r="AA72" s="67"/>
      <c r="AB72" s="67"/>
      <c r="AC72" s="67"/>
      <c r="AD72" s="67"/>
      <c r="AE72" s="67"/>
      <c r="AF72" s="67"/>
      <c r="AG72" s="67"/>
      <c r="AI72" s="270" t="str">
        <f t="shared" ref="AI72:AI106" si="14">IF(ISERROR(IF(P72&gt;0,DATEDIF(P72,MIN($AI$7,Q72),"m"),"")),0,IF(P72&gt;0,DATEDIF(P72,MIN($AI$7,Q72),"m"),""))</f>
        <v/>
      </c>
      <c r="AJ72" s="270" t="str">
        <f t="shared" ref="AJ72:AJ106" si="15">IF(ISERROR(IF(P72&gt;0,DATEDIF(P72,MIN($AJ$7,Q72),"m"),"")),0,IF(P72&gt;0,DATEDIF(P72,MIN($AJ$7,Q72),"m"),""))</f>
        <v/>
      </c>
      <c r="AK72" s="271">
        <f t="shared" si="12"/>
        <v>0</v>
      </c>
      <c r="AL72" s="270" t="str">
        <f t="shared" ref="AL72:AL106" si="16">IF(ISERROR(IF(P72&gt;0,DATEDIF(P72,MIN($AL$7,Q72),"m"),"")),0,IF(P72&gt;0,DATEDIF(P72,MIN($AL$7,Q72),"m"),""))</f>
        <v/>
      </c>
      <c r="AM72" s="270">
        <f t="shared" ref="AM72:AM106" si="17">IFERROR((AL72-AJ72)*I72,0)</f>
        <v>0</v>
      </c>
      <c r="AN72" s="270" t="str">
        <f t="shared" ref="AN72:AN106" si="18">IF(ISERROR(IF(P72&gt;0,DATEDIF(P72,MIN($AN$7,Q72),"m"),"")),0,IF(P72&gt;0,DATEDIF(P72,MIN($AN$7,Q72),"m"),""))</f>
        <v/>
      </c>
      <c r="AO72" s="270">
        <f t="shared" ref="AO72:AO106" si="19">IFERROR((AN72-AL72)*I72,0)</f>
        <v>0</v>
      </c>
      <c r="AP72" s="270" t="str">
        <f t="shared" ref="AP72:AP106" si="20">IF(ISERROR(IF(P72&gt;0,DATEDIF(P72,MIN($AP$7,Q72),"m"),"")),0,IF(P72&gt;0,DATEDIF(P72,MIN($AP$7,Q72),"m"),""))</f>
        <v/>
      </c>
      <c r="AQ72" s="270">
        <f t="shared" ref="AQ72:AQ106" si="21">IFERROR((AP72-AN72)*I72,0)</f>
        <v>0</v>
      </c>
      <c r="AR72" s="270">
        <f t="shared" ref="AR72:AR106" si="22">IF(ISERROR(IF(R72&gt;0,DATEDIF(R72,MIN($AP$7,S72),"m"),"")),0,IF(R72&gt;0,DATEDIF(R72,MIN($AR$7,S72),"m"),""))</f>
        <v>0</v>
      </c>
      <c r="AS72" s="270">
        <f t="shared" ref="AS72:AS106" si="23">IFERROR((AR72-AP72)*K72,0)</f>
        <v>0</v>
      </c>
    </row>
    <row r="73" spans="1:45" s="48" customFormat="1" hidden="1">
      <c r="A73" s="146"/>
      <c r="B73" s="317"/>
      <c r="C73" s="63"/>
      <c r="D73" s="322"/>
      <c r="E73" s="320"/>
      <c r="F73" s="321"/>
      <c r="G73" s="401"/>
      <c r="H73" s="272"/>
      <c r="I73" s="63"/>
      <c r="J73" s="321"/>
      <c r="K73" s="272"/>
      <c r="L73" s="272"/>
      <c r="M73" s="272"/>
      <c r="N73" s="65"/>
      <c r="O73" s="62"/>
      <c r="P73" s="68"/>
      <c r="Q73" s="273"/>
      <c r="R73" s="274" t="str">
        <f>IF(ISERROR(IF(P73&gt;0,DATEDIF(P73,MIN(CAM!$D$4,Q73),"m"),"")),0,IF(P73&gt;0,DATEDIF(P73,MIN(CAM!$D$4,Q73),"m"),""))</f>
        <v/>
      </c>
      <c r="S73" s="274">
        <f t="shared" si="13"/>
        <v>0</v>
      </c>
      <c r="T73" s="63"/>
      <c r="U73" s="62"/>
      <c r="V73" s="67"/>
      <c r="W73" s="67"/>
      <c r="X73" s="67"/>
      <c r="Y73" s="67"/>
      <c r="Z73" s="67"/>
      <c r="AA73" s="67"/>
      <c r="AB73" s="67"/>
      <c r="AC73" s="67"/>
      <c r="AD73" s="67"/>
      <c r="AE73" s="67"/>
      <c r="AF73" s="67"/>
      <c r="AG73" s="67"/>
      <c r="AI73" s="270" t="str">
        <f t="shared" si="14"/>
        <v/>
      </c>
      <c r="AJ73" s="270" t="str">
        <f t="shared" si="15"/>
        <v/>
      </c>
      <c r="AK73" s="271">
        <f t="shared" ref="AK73:AK106" si="24">IFERROR((AJ73-AI73)*I73,0)</f>
        <v>0</v>
      </c>
      <c r="AL73" s="270" t="str">
        <f t="shared" si="16"/>
        <v/>
      </c>
      <c r="AM73" s="270">
        <f t="shared" si="17"/>
        <v>0</v>
      </c>
      <c r="AN73" s="270" t="str">
        <f t="shared" si="18"/>
        <v/>
      </c>
      <c r="AO73" s="270">
        <f t="shared" si="19"/>
        <v>0</v>
      </c>
      <c r="AP73" s="270" t="str">
        <f t="shared" si="20"/>
        <v/>
      </c>
      <c r="AQ73" s="270">
        <f t="shared" si="21"/>
        <v>0</v>
      </c>
      <c r="AR73" s="270">
        <f t="shared" si="22"/>
        <v>0</v>
      </c>
      <c r="AS73" s="270">
        <f t="shared" si="23"/>
        <v>0</v>
      </c>
    </row>
    <row r="74" spans="1:45" s="48" customFormat="1" hidden="1">
      <c r="A74" s="146"/>
      <c r="B74" s="317"/>
      <c r="C74" s="63"/>
      <c r="D74" s="322"/>
      <c r="E74" s="320"/>
      <c r="F74" s="321"/>
      <c r="G74" s="401"/>
      <c r="H74" s="272"/>
      <c r="I74" s="63"/>
      <c r="J74" s="321"/>
      <c r="K74" s="272"/>
      <c r="L74" s="272"/>
      <c r="M74" s="272"/>
      <c r="N74" s="65"/>
      <c r="O74" s="62"/>
      <c r="P74" s="68"/>
      <c r="Q74" s="273"/>
      <c r="R74" s="274" t="str">
        <f>IF(ISERROR(IF(P74&gt;0,DATEDIF(P74,MIN(CAM!$D$4,Q74),"m"),"")),0,IF(P74&gt;0,DATEDIF(P74,MIN(CAM!$D$4,Q74),"m"),""))</f>
        <v/>
      </c>
      <c r="S74" s="274">
        <f t="shared" si="13"/>
        <v>0</v>
      </c>
      <c r="T74" s="63"/>
      <c r="U74" s="62"/>
      <c r="V74" s="67"/>
      <c r="W74" s="67"/>
      <c r="X74" s="67"/>
      <c r="Y74" s="67"/>
      <c r="Z74" s="67"/>
      <c r="AA74" s="67"/>
      <c r="AB74" s="67"/>
      <c r="AC74" s="67"/>
      <c r="AD74" s="67"/>
      <c r="AE74" s="67"/>
      <c r="AF74" s="67"/>
      <c r="AG74" s="67"/>
      <c r="AI74" s="270" t="str">
        <f t="shared" si="14"/>
        <v/>
      </c>
      <c r="AJ74" s="270" t="str">
        <f t="shared" si="15"/>
        <v/>
      </c>
      <c r="AK74" s="271">
        <f t="shared" si="24"/>
        <v>0</v>
      </c>
      <c r="AL74" s="270" t="str">
        <f t="shared" si="16"/>
        <v/>
      </c>
      <c r="AM74" s="270">
        <f t="shared" si="17"/>
        <v>0</v>
      </c>
      <c r="AN74" s="270" t="str">
        <f t="shared" si="18"/>
        <v/>
      </c>
      <c r="AO74" s="270">
        <f t="shared" si="19"/>
        <v>0</v>
      </c>
      <c r="AP74" s="270" t="str">
        <f t="shared" si="20"/>
        <v/>
      </c>
      <c r="AQ74" s="270">
        <f t="shared" si="21"/>
        <v>0</v>
      </c>
      <c r="AR74" s="270">
        <f t="shared" si="22"/>
        <v>0</v>
      </c>
      <c r="AS74" s="270">
        <f t="shared" si="23"/>
        <v>0</v>
      </c>
    </row>
    <row r="75" spans="1:45" s="48" customFormat="1" hidden="1">
      <c r="A75" s="146"/>
      <c r="B75" s="317"/>
      <c r="C75" s="63"/>
      <c r="D75" s="322"/>
      <c r="E75" s="320"/>
      <c r="F75" s="321"/>
      <c r="G75" s="401"/>
      <c r="H75" s="272"/>
      <c r="I75" s="63"/>
      <c r="J75" s="321"/>
      <c r="K75" s="272"/>
      <c r="L75" s="272"/>
      <c r="M75" s="272"/>
      <c r="N75" s="65"/>
      <c r="O75" s="62"/>
      <c r="P75" s="68"/>
      <c r="Q75" s="273"/>
      <c r="R75" s="274" t="str">
        <f>IF(ISERROR(IF(P75&gt;0,DATEDIF(P75,MIN(CAM!$D$4,Q75),"m"),"")),0,IF(P75&gt;0,DATEDIF(P75,MIN(CAM!$D$4,Q75),"m"),""))</f>
        <v/>
      </c>
      <c r="S75" s="274">
        <f t="shared" si="13"/>
        <v>0</v>
      </c>
      <c r="T75" s="63"/>
      <c r="U75" s="62"/>
      <c r="V75" s="67"/>
      <c r="W75" s="67"/>
      <c r="X75" s="67"/>
      <c r="Y75" s="67"/>
      <c r="Z75" s="67"/>
      <c r="AA75" s="67"/>
      <c r="AB75" s="67"/>
      <c r="AC75" s="67"/>
      <c r="AD75" s="67"/>
      <c r="AE75" s="67"/>
      <c r="AF75" s="67"/>
      <c r="AG75" s="67"/>
      <c r="AI75" s="270" t="str">
        <f t="shared" si="14"/>
        <v/>
      </c>
      <c r="AJ75" s="270" t="str">
        <f t="shared" si="15"/>
        <v/>
      </c>
      <c r="AK75" s="271">
        <f t="shared" si="24"/>
        <v>0</v>
      </c>
      <c r="AL75" s="270" t="str">
        <f t="shared" si="16"/>
        <v/>
      </c>
      <c r="AM75" s="270">
        <f t="shared" si="17"/>
        <v>0</v>
      </c>
      <c r="AN75" s="270" t="str">
        <f t="shared" si="18"/>
        <v/>
      </c>
      <c r="AO75" s="270">
        <f t="shared" si="19"/>
        <v>0</v>
      </c>
      <c r="AP75" s="270" t="str">
        <f t="shared" si="20"/>
        <v/>
      </c>
      <c r="AQ75" s="270">
        <f t="shared" si="21"/>
        <v>0</v>
      </c>
      <c r="AR75" s="270">
        <f t="shared" si="22"/>
        <v>0</v>
      </c>
      <c r="AS75" s="270">
        <f t="shared" si="23"/>
        <v>0</v>
      </c>
    </row>
    <row r="76" spans="1:45" s="48" customFormat="1" hidden="1">
      <c r="A76" s="146"/>
      <c r="B76" s="317"/>
      <c r="C76" s="63"/>
      <c r="D76" s="322"/>
      <c r="E76" s="320"/>
      <c r="F76" s="321"/>
      <c r="G76" s="401"/>
      <c r="H76" s="272"/>
      <c r="I76" s="63"/>
      <c r="J76" s="321"/>
      <c r="K76" s="272"/>
      <c r="L76" s="272"/>
      <c r="M76" s="272"/>
      <c r="N76" s="65"/>
      <c r="O76" s="62"/>
      <c r="P76" s="68"/>
      <c r="Q76" s="273"/>
      <c r="R76" s="274" t="str">
        <f>IF(ISERROR(IF(P76&gt;0,DATEDIF(P76,MIN(CAM!$D$4,Q76),"m"),"")),0,IF(P76&gt;0,DATEDIF(P76,MIN(CAM!$D$4,Q76),"m"),""))</f>
        <v/>
      </c>
      <c r="S76" s="274">
        <f t="shared" si="13"/>
        <v>0</v>
      </c>
      <c r="T76" s="63"/>
      <c r="U76" s="62"/>
      <c r="V76" s="67"/>
      <c r="W76" s="67"/>
      <c r="X76" s="67"/>
      <c r="Y76" s="67"/>
      <c r="Z76" s="67"/>
      <c r="AA76" s="67"/>
      <c r="AB76" s="67"/>
      <c r="AC76" s="67"/>
      <c r="AD76" s="67"/>
      <c r="AE76" s="67"/>
      <c r="AF76" s="67"/>
      <c r="AG76" s="67"/>
      <c r="AI76" s="270" t="str">
        <f t="shared" si="14"/>
        <v/>
      </c>
      <c r="AJ76" s="270" t="str">
        <f t="shared" si="15"/>
        <v/>
      </c>
      <c r="AK76" s="271">
        <f t="shared" si="24"/>
        <v>0</v>
      </c>
      <c r="AL76" s="270" t="str">
        <f t="shared" si="16"/>
        <v/>
      </c>
      <c r="AM76" s="270">
        <f t="shared" si="17"/>
        <v>0</v>
      </c>
      <c r="AN76" s="270" t="str">
        <f t="shared" si="18"/>
        <v/>
      </c>
      <c r="AO76" s="270">
        <f t="shared" si="19"/>
        <v>0</v>
      </c>
      <c r="AP76" s="270" t="str">
        <f t="shared" si="20"/>
        <v/>
      </c>
      <c r="AQ76" s="270">
        <f t="shared" si="21"/>
        <v>0</v>
      </c>
      <c r="AR76" s="270">
        <f t="shared" si="22"/>
        <v>0</v>
      </c>
      <c r="AS76" s="270">
        <f t="shared" si="23"/>
        <v>0</v>
      </c>
    </row>
    <row r="77" spans="1:45" s="48" customFormat="1" hidden="1">
      <c r="A77" s="146"/>
      <c r="B77" s="317"/>
      <c r="C77" s="63"/>
      <c r="D77" s="322"/>
      <c r="E77" s="320"/>
      <c r="F77" s="321"/>
      <c r="G77" s="401"/>
      <c r="H77" s="272"/>
      <c r="I77" s="63"/>
      <c r="J77" s="321"/>
      <c r="K77" s="272"/>
      <c r="L77" s="272"/>
      <c r="M77" s="272"/>
      <c r="N77" s="65"/>
      <c r="O77" s="62"/>
      <c r="P77" s="68"/>
      <c r="Q77" s="273"/>
      <c r="R77" s="274" t="str">
        <f>IF(ISERROR(IF(P77&gt;0,DATEDIF(P77,MIN(CAM!$D$4,Q77),"m"),"")),0,IF(P77&gt;0,DATEDIF(P77,MIN(CAM!$D$4,Q77),"m"),""))</f>
        <v/>
      </c>
      <c r="S77" s="274">
        <f t="shared" si="13"/>
        <v>0</v>
      </c>
      <c r="T77" s="63"/>
      <c r="U77" s="62"/>
      <c r="V77" s="67"/>
      <c r="W77" s="67"/>
      <c r="X77" s="67"/>
      <c r="Y77" s="67"/>
      <c r="Z77" s="67"/>
      <c r="AA77" s="67"/>
      <c r="AB77" s="67"/>
      <c r="AC77" s="67"/>
      <c r="AD77" s="67"/>
      <c r="AE77" s="67"/>
      <c r="AF77" s="67"/>
      <c r="AG77" s="67"/>
      <c r="AI77" s="270" t="str">
        <f t="shared" si="14"/>
        <v/>
      </c>
      <c r="AJ77" s="270" t="str">
        <f t="shared" si="15"/>
        <v/>
      </c>
      <c r="AK77" s="271">
        <f t="shared" si="24"/>
        <v>0</v>
      </c>
      <c r="AL77" s="270" t="str">
        <f t="shared" si="16"/>
        <v/>
      </c>
      <c r="AM77" s="270">
        <f t="shared" si="17"/>
        <v>0</v>
      </c>
      <c r="AN77" s="270" t="str">
        <f t="shared" si="18"/>
        <v/>
      </c>
      <c r="AO77" s="270">
        <f t="shared" si="19"/>
        <v>0</v>
      </c>
      <c r="AP77" s="270" t="str">
        <f t="shared" si="20"/>
        <v/>
      </c>
      <c r="AQ77" s="270">
        <f t="shared" si="21"/>
        <v>0</v>
      </c>
      <c r="AR77" s="270">
        <f t="shared" si="22"/>
        <v>0</v>
      </c>
      <c r="AS77" s="270">
        <f t="shared" si="23"/>
        <v>0</v>
      </c>
    </row>
    <row r="78" spans="1:45" s="48" customFormat="1" hidden="1">
      <c r="A78" s="146"/>
      <c r="B78" s="317"/>
      <c r="C78" s="63"/>
      <c r="D78" s="322"/>
      <c r="E78" s="320"/>
      <c r="F78" s="321"/>
      <c r="G78" s="401"/>
      <c r="H78" s="272"/>
      <c r="I78" s="63"/>
      <c r="J78" s="321"/>
      <c r="K78" s="272"/>
      <c r="L78" s="272"/>
      <c r="M78" s="272"/>
      <c r="N78" s="65"/>
      <c r="O78" s="62"/>
      <c r="P78" s="68"/>
      <c r="Q78" s="273"/>
      <c r="R78" s="274" t="str">
        <f>IF(ISERROR(IF(P78&gt;0,DATEDIF(P78,MIN(CAM!$D$4,Q78),"m"),"")),0,IF(P78&gt;0,DATEDIF(P78,MIN(CAM!$D$4,Q78),"m"),""))</f>
        <v/>
      </c>
      <c r="S78" s="274">
        <f t="shared" si="13"/>
        <v>0</v>
      </c>
      <c r="T78" s="63"/>
      <c r="U78" s="62"/>
      <c r="V78" s="67"/>
      <c r="W78" s="67"/>
      <c r="X78" s="67"/>
      <c r="Y78" s="67"/>
      <c r="Z78" s="67"/>
      <c r="AA78" s="67"/>
      <c r="AB78" s="67"/>
      <c r="AC78" s="67"/>
      <c r="AD78" s="67"/>
      <c r="AE78" s="67"/>
      <c r="AF78" s="67"/>
      <c r="AG78" s="67"/>
      <c r="AI78" s="270" t="str">
        <f t="shared" si="14"/>
        <v/>
      </c>
      <c r="AJ78" s="270" t="str">
        <f t="shared" si="15"/>
        <v/>
      </c>
      <c r="AK78" s="271">
        <f t="shared" si="24"/>
        <v>0</v>
      </c>
      <c r="AL78" s="270" t="str">
        <f t="shared" si="16"/>
        <v/>
      </c>
      <c r="AM78" s="270">
        <f t="shared" si="17"/>
        <v>0</v>
      </c>
      <c r="AN78" s="270" t="str">
        <f t="shared" si="18"/>
        <v/>
      </c>
      <c r="AO78" s="270">
        <f t="shared" si="19"/>
        <v>0</v>
      </c>
      <c r="AP78" s="270" t="str">
        <f t="shared" si="20"/>
        <v/>
      </c>
      <c r="AQ78" s="270">
        <f t="shared" si="21"/>
        <v>0</v>
      </c>
      <c r="AR78" s="270">
        <f t="shared" si="22"/>
        <v>0</v>
      </c>
      <c r="AS78" s="270">
        <f t="shared" si="23"/>
        <v>0</v>
      </c>
    </row>
    <row r="79" spans="1:45" s="48" customFormat="1" hidden="1">
      <c r="A79" s="146"/>
      <c r="B79" s="317"/>
      <c r="C79" s="63"/>
      <c r="D79" s="322"/>
      <c r="E79" s="320"/>
      <c r="F79" s="321"/>
      <c r="G79" s="401"/>
      <c r="H79" s="272"/>
      <c r="I79" s="63"/>
      <c r="J79" s="321"/>
      <c r="K79" s="272"/>
      <c r="L79" s="272"/>
      <c r="M79" s="272"/>
      <c r="N79" s="65"/>
      <c r="O79" s="62"/>
      <c r="P79" s="68"/>
      <c r="Q79" s="273"/>
      <c r="R79" s="274" t="str">
        <f>IF(ISERROR(IF(P79&gt;0,DATEDIF(P79,MIN(CAM!$D$4,Q79),"m"),"")),0,IF(P79&gt;0,DATEDIF(P79,MIN(CAM!$D$4,Q79),"m"),""))</f>
        <v/>
      </c>
      <c r="S79" s="274">
        <f t="shared" si="13"/>
        <v>0</v>
      </c>
      <c r="T79" s="63"/>
      <c r="U79" s="62"/>
      <c r="V79" s="67"/>
      <c r="W79" s="67"/>
      <c r="X79" s="67"/>
      <c r="Y79" s="67"/>
      <c r="Z79" s="67"/>
      <c r="AA79" s="67"/>
      <c r="AB79" s="67"/>
      <c r="AC79" s="67"/>
      <c r="AD79" s="67"/>
      <c r="AE79" s="67"/>
      <c r="AF79" s="67"/>
      <c r="AG79" s="67"/>
      <c r="AI79" s="270" t="str">
        <f t="shared" si="14"/>
        <v/>
      </c>
      <c r="AJ79" s="270" t="str">
        <f t="shared" si="15"/>
        <v/>
      </c>
      <c r="AK79" s="271">
        <f t="shared" si="24"/>
        <v>0</v>
      </c>
      <c r="AL79" s="270" t="str">
        <f t="shared" si="16"/>
        <v/>
      </c>
      <c r="AM79" s="270">
        <f t="shared" si="17"/>
        <v>0</v>
      </c>
      <c r="AN79" s="270" t="str">
        <f t="shared" si="18"/>
        <v/>
      </c>
      <c r="AO79" s="270">
        <f t="shared" si="19"/>
        <v>0</v>
      </c>
      <c r="AP79" s="270" t="str">
        <f t="shared" si="20"/>
        <v/>
      </c>
      <c r="AQ79" s="270">
        <f t="shared" si="21"/>
        <v>0</v>
      </c>
      <c r="AR79" s="270">
        <f t="shared" si="22"/>
        <v>0</v>
      </c>
      <c r="AS79" s="270">
        <f t="shared" si="23"/>
        <v>0</v>
      </c>
    </row>
    <row r="80" spans="1:45" s="48" customFormat="1" hidden="1">
      <c r="A80" s="146"/>
      <c r="B80" s="317"/>
      <c r="C80" s="63"/>
      <c r="D80" s="322"/>
      <c r="E80" s="320"/>
      <c r="F80" s="321"/>
      <c r="G80" s="401"/>
      <c r="H80" s="272"/>
      <c r="I80" s="63"/>
      <c r="J80" s="321"/>
      <c r="K80" s="272"/>
      <c r="L80" s="272"/>
      <c r="M80" s="272"/>
      <c r="N80" s="65"/>
      <c r="O80" s="62"/>
      <c r="P80" s="68"/>
      <c r="Q80" s="273"/>
      <c r="R80" s="274" t="str">
        <f>IF(ISERROR(IF(P80&gt;0,DATEDIF(P80,MIN(CAM!$D$4,Q80),"m"),"")),0,IF(P80&gt;0,DATEDIF(P80,MIN(CAM!$D$4,Q80),"m"),""))</f>
        <v/>
      </c>
      <c r="S80" s="274">
        <f t="shared" si="13"/>
        <v>0</v>
      </c>
      <c r="T80" s="63"/>
      <c r="U80" s="62"/>
      <c r="V80" s="67"/>
      <c r="W80" s="67"/>
      <c r="X80" s="67"/>
      <c r="Y80" s="67"/>
      <c r="Z80" s="67"/>
      <c r="AA80" s="67"/>
      <c r="AB80" s="67"/>
      <c r="AC80" s="67"/>
      <c r="AD80" s="67"/>
      <c r="AE80" s="67"/>
      <c r="AF80" s="67"/>
      <c r="AG80" s="67"/>
      <c r="AI80" s="270" t="str">
        <f t="shared" si="14"/>
        <v/>
      </c>
      <c r="AJ80" s="270" t="str">
        <f t="shared" si="15"/>
        <v/>
      </c>
      <c r="AK80" s="271">
        <f t="shared" si="24"/>
        <v>0</v>
      </c>
      <c r="AL80" s="270" t="str">
        <f t="shared" si="16"/>
        <v/>
      </c>
      <c r="AM80" s="270">
        <f t="shared" si="17"/>
        <v>0</v>
      </c>
      <c r="AN80" s="270" t="str">
        <f t="shared" si="18"/>
        <v/>
      </c>
      <c r="AO80" s="270">
        <f t="shared" si="19"/>
        <v>0</v>
      </c>
      <c r="AP80" s="270" t="str">
        <f t="shared" si="20"/>
        <v/>
      </c>
      <c r="AQ80" s="270">
        <f t="shared" si="21"/>
        <v>0</v>
      </c>
      <c r="AR80" s="270">
        <f t="shared" si="22"/>
        <v>0</v>
      </c>
      <c r="AS80" s="270">
        <f t="shared" si="23"/>
        <v>0</v>
      </c>
    </row>
    <row r="81" spans="1:45" s="48" customFormat="1" hidden="1">
      <c r="A81" s="146"/>
      <c r="B81" s="317"/>
      <c r="C81" s="63"/>
      <c r="D81" s="322"/>
      <c r="E81" s="320"/>
      <c r="F81" s="321"/>
      <c r="G81" s="401"/>
      <c r="H81" s="272"/>
      <c r="I81" s="63"/>
      <c r="J81" s="321"/>
      <c r="K81" s="272"/>
      <c r="L81" s="272"/>
      <c r="M81" s="272"/>
      <c r="N81" s="65"/>
      <c r="O81" s="62"/>
      <c r="P81" s="68"/>
      <c r="Q81" s="273"/>
      <c r="R81" s="274" t="str">
        <f>IF(ISERROR(IF(P81&gt;0,DATEDIF(P81,MIN(CAM!$D$4,Q81),"m"),"")),0,IF(P81&gt;0,DATEDIF(P81,MIN(CAM!$D$4,Q81),"m"),""))</f>
        <v/>
      </c>
      <c r="S81" s="274">
        <f t="shared" si="13"/>
        <v>0</v>
      </c>
      <c r="T81" s="63"/>
      <c r="U81" s="62"/>
      <c r="V81" s="67"/>
      <c r="W81" s="67"/>
      <c r="X81" s="67"/>
      <c r="Y81" s="67"/>
      <c r="Z81" s="67"/>
      <c r="AA81" s="67"/>
      <c r="AB81" s="67"/>
      <c r="AC81" s="67"/>
      <c r="AD81" s="67"/>
      <c r="AE81" s="67"/>
      <c r="AF81" s="67"/>
      <c r="AG81" s="67"/>
      <c r="AI81" s="270" t="str">
        <f t="shared" si="14"/>
        <v/>
      </c>
      <c r="AJ81" s="270" t="str">
        <f t="shared" si="15"/>
        <v/>
      </c>
      <c r="AK81" s="271">
        <f t="shared" si="24"/>
        <v>0</v>
      </c>
      <c r="AL81" s="270" t="str">
        <f t="shared" si="16"/>
        <v/>
      </c>
      <c r="AM81" s="270">
        <f t="shared" si="17"/>
        <v>0</v>
      </c>
      <c r="AN81" s="270" t="str">
        <f t="shared" si="18"/>
        <v/>
      </c>
      <c r="AO81" s="270">
        <f t="shared" si="19"/>
        <v>0</v>
      </c>
      <c r="AP81" s="270" t="str">
        <f t="shared" si="20"/>
        <v/>
      </c>
      <c r="AQ81" s="270">
        <f t="shared" si="21"/>
        <v>0</v>
      </c>
      <c r="AR81" s="270">
        <f t="shared" si="22"/>
        <v>0</v>
      </c>
      <c r="AS81" s="270">
        <f t="shared" si="23"/>
        <v>0</v>
      </c>
    </row>
    <row r="82" spans="1:45" s="48" customFormat="1" hidden="1">
      <c r="A82" s="146"/>
      <c r="B82" s="317"/>
      <c r="C82" s="63"/>
      <c r="D82" s="322"/>
      <c r="E82" s="320"/>
      <c r="F82" s="321"/>
      <c r="G82" s="401"/>
      <c r="H82" s="272"/>
      <c r="I82" s="63"/>
      <c r="J82" s="321"/>
      <c r="K82" s="272"/>
      <c r="L82" s="272"/>
      <c r="M82" s="272"/>
      <c r="N82" s="65"/>
      <c r="O82" s="62"/>
      <c r="P82" s="68"/>
      <c r="Q82" s="273"/>
      <c r="R82" s="274" t="str">
        <f>IF(ISERROR(IF(P82&gt;0,DATEDIF(P82,MIN(CAM!$D$4,Q82),"m"),"")),0,IF(P82&gt;0,DATEDIF(P82,MIN(CAM!$D$4,Q82),"m"),""))</f>
        <v/>
      </c>
      <c r="S82" s="274">
        <f t="shared" si="13"/>
        <v>0</v>
      </c>
      <c r="T82" s="63"/>
      <c r="U82" s="62"/>
      <c r="V82" s="67"/>
      <c r="W82" s="67"/>
      <c r="X82" s="67"/>
      <c r="Y82" s="67"/>
      <c r="Z82" s="67"/>
      <c r="AA82" s="67"/>
      <c r="AB82" s="67"/>
      <c r="AC82" s="67"/>
      <c r="AD82" s="67"/>
      <c r="AE82" s="67"/>
      <c r="AF82" s="67"/>
      <c r="AG82" s="67"/>
      <c r="AI82" s="270" t="str">
        <f t="shared" si="14"/>
        <v/>
      </c>
      <c r="AJ82" s="270" t="str">
        <f t="shared" si="15"/>
        <v/>
      </c>
      <c r="AK82" s="271">
        <f t="shared" si="24"/>
        <v>0</v>
      </c>
      <c r="AL82" s="270" t="str">
        <f t="shared" si="16"/>
        <v/>
      </c>
      <c r="AM82" s="270">
        <f t="shared" si="17"/>
        <v>0</v>
      </c>
      <c r="AN82" s="270" t="str">
        <f t="shared" si="18"/>
        <v/>
      </c>
      <c r="AO82" s="270">
        <f t="shared" si="19"/>
        <v>0</v>
      </c>
      <c r="AP82" s="270" t="str">
        <f t="shared" si="20"/>
        <v/>
      </c>
      <c r="AQ82" s="270">
        <f t="shared" si="21"/>
        <v>0</v>
      </c>
      <c r="AR82" s="270">
        <f t="shared" si="22"/>
        <v>0</v>
      </c>
      <c r="AS82" s="270">
        <f t="shared" si="23"/>
        <v>0</v>
      </c>
    </row>
    <row r="83" spans="1:45" s="48" customFormat="1" hidden="1">
      <c r="A83" s="146"/>
      <c r="B83" s="317"/>
      <c r="C83" s="63"/>
      <c r="D83" s="322"/>
      <c r="E83" s="320"/>
      <c r="F83" s="321"/>
      <c r="G83" s="401"/>
      <c r="H83" s="272"/>
      <c r="I83" s="63"/>
      <c r="J83" s="321"/>
      <c r="K83" s="272"/>
      <c r="L83" s="272"/>
      <c r="M83" s="272"/>
      <c r="N83" s="65"/>
      <c r="O83" s="62"/>
      <c r="P83" s="68"/>
      <c r="Q83" s="273"/>
      <c r="R83" s="274" t="str">
        <f>IF(ISERROR(IF(P83&gt;0,DATEDIF(P83,MIN(CAM!$D$4,Q83),"m"),"")),0,IF(P83&gt;0,DATEDIF(P83,MIN(CAM!$D$4,Q83),"m"),""))</f>
        <v/>
      </c>
      <c r="S83" s="274">
        <f t="shared" si="13"/>
        <v>0</v>
      </c>
      <c r="T83" s="63"/>
      <c r="U83" s="62"/>
      <c r="V83" s="67"/>
      <c r="W83" s="67"/>
      <c r="X83" s="67"/>
      <c r="Y83" s="67"/>
      <c r="Z83" s="67"/>
      <c r="AA83" s="67"/>
      <c r="AB83" s="67"/>
      <c r="AC83" s="67"/>
      <c r="AD83" s="67"/>
      <c r="AE83" s="67"/>
      <c r="AF83" s="67"/>
      <c r="AG83" s="67"/>
      <c r="AI83" s="270" t="str">
        <f t="shared" si="14"/>
        <v/>
      </c>
      <c r="AJ83" s="270" t="str">
        <f t="shared" si="15"/>
        <v/>
      </c>
      <c r="AK83" s="271">
        <f t="shared" si="24"/>
        <v>0</v>
      </c>
      <c r="AL83" s="270" t="str">
        <f t="shared" si="16"/>
        <v/>
      </c>
      <c r="AM83" s="270">
        <f t="shared" si="17"/>
        <v>0</v>
      </c>
      <c r="AN83" s="270" t="str">
        <f t="shared" si="18"/>
        <v/>
      </c>
      <c r="AO83" s="270">
        <f t="shared" si="19"/>
        <v>0</v>
      </c>
      <c r="AP83" s="270" t="str">
        <f t="shared" si="20"/>
        <v/>
      </c>
      <c r="AQ83" s="270">
        <f t="shared" si="21"/>
        <v>0</v>
      </c>
      <c r="AR83" s="270">
        <f t="shared" si="22"/>
        <v>0</v>
      </c>
      <c r="AS83" s="270">
        <f t="shared" si="23"/>
        <v>0</v>
      </c>
    </row>
    <row r="84" spans="1:45" s="48" customFormat="1" hidden="1">
      <c r="A84" s="146"/>
      <c r="B84" s="317"/>
      <c r="C84" s="63"/>
      <c r="D84" s="322"/>
      <c r="E84" s="320"/>
      <c r="F84" s="321"/>
      <c r="G84" s="401"/>
      <c r="H84" s="272"/>
      <c r="I84" s="63"/>
      <c r="J84" s="321"/>
      <c r="K84" s="272"/>
      <c r="L84" s="272"/>
      <c r="M84" s="272"/>
      <c r="N84" s="65"/>
      <c r="O84" s="62"/>
      <c r="P84" s="68"/>
      <c r="Q84" s="273"/>
      <c r="R84" s="274" t="str">
        <f>IF(ISERROR(IF(P84&gt;0,DATEDIF(P84,MIN(CAM!$D$4,Q84),"m"),"")),0,IF(P84&gt;0,DATEDIF(P84,MIN(CAM!$D$4,Q84),"m"),""))</f>
        <v/>
      </c>
      <c r="S84" s="274">
        <f t="shared" si="13"/>
        <v>0</v>
      </c>
      <c r="T84" s="63"/>
      <c r="U84" s="62"/>
      <c r="V84" s="67"/>
      <c r="W84" s="67"/>
      <c r="X84" s="67"/>
      <c r="Y84" s="67"/>
      <c r="Z84" s="67"/>
      <c r="AA84" s="67"/>
      <c r="AB84" s="67"/>
      <c r="AC84" s="67"/>
      <c r="AD84" s="67"/>
      <c r="AE84" s="67"/>
      <c r="AF84" s="67"/>
      <c r="AG84" s="67"/>
      <c r="AI84" s="270" t="str">
        <f t="shared" si="14"/>
        <v/>
      </c>
      <c r="AJ84" s="270" t="str">
        <f t="shared" si="15"/>
        <v/>
      </c>
      <c r="AK84" s="271">
        <f t="shared" si="24"/>
        <v>0</v>
      </c>
      <c r="AL84" s="270" t="str">
        <f t="shared" si="16"/>
        <v/>
      </c>
      <c r="AM84" s="270">
        <f t="shared" si="17"/>
        <v>0</v>
      </c>
      <c r="AN84" s="270" t="str">
        <f t="shared" si="18"/>
        <v/>
      </c>
      <c r="AO84" s="270">
        <f t="shared" si="19"/>
        <v>0</v>
      </c>
      <c r="AP84" s="270" t="str">
        <f t="shared" si="20"/>
        <v/>
      </c>
      <c r="AQ84" s="270">
        <f t="shared" si="21"/>
        <v>0</v>
      </c>
      <c r="AR84" s="270">
        <f t="shared" si="22"/>
        <v>0</v>
      </c>
      <c r="AS84" s="270">
        <f t="shared" si="23"/>
        <v>0</v>
      </c>
    </row>
    <row r="85" spans="1:45" s="48" customFormat="1" hidden="1">
      <c r="A85" s="146"/>
      <c r="B85" s="317"/>
      <c r="C85" s="63"/>
      <c r="D85" s="322"/>
      <c r="E85" s="320"/>
      <c r="F85" s="321"/>
      <c r="G85" s="401"/>
      <c r="H85" s="272"/>
      <c r="I85" s="63"/>
      <c r="J85" s="321"/>
      <c r="K85" s="272"/>
      <c r="L85" s="272"/>
      <c r="M85" s="272"/>
      <c r="N85" s="65"/>
      <c r="O85" s="62"/>
      <c r="P85" s="68"/>
      <c r="Q85" s="273"/>
      <c r="R85" s="274" t="str">
        <f>IF(ISERROR(IF(P85&gt;0,DATEDIF(P85,MIN(CAM!$D$4,Q85),"m"),"")),0,IF(P85&gt;0,DATEDIF(P85,MIN(CAM!$D$4,Q85),"m"),""))</f>
        <v/>
      </c>
      <c r="S85" s="274">
        <f t="shared" si="13"/>
        <v>0</v>
      </c>
      <c r="T85" s="63"/>
      <c r="U85" s="62"/>
      <c r="V85" s="67"/>
      <c r="W85" s="67"/>
      <c r="X85" s="67"/>
      <c r="Y85" s="67"/>
      <c r="Z85" s="67"/>
      <c r="AA85" s="67"/>
      <c r="AB85" s="67"/>
      <c r="AC85" s="67"/>
      <c r="AD85" s="67"/>
      <c r="AE85" s="67"/>
      <c r="AF85" s="67"/>
      <c r="AG85" s="67"/>
      <c r="AI85" s="270" t="str">
        <f t="shared" si="14"/>
        <v/>
      </c>
      <c r="AJ85" s="270" t="str">
        <f t="shared" si="15"/>
        <v/>
      </c>
      <c r="AK85" s="271">
        <f t="shared" si="24"/>
        <v>0</v>
      </c>
      <c r="AL85" s="270" t="str">
        <f t="shared" si="16"/>
        <v/>
      </c>
      <c r="AM85" s="270">
        <f t="shared" si="17"/>
        <v>0</v>
      </c>
      <c r="AN85" s="270" t="str">
        <f t="shared" si="18"/>
        <v/>
      </c>
      <c r="AO85" s="270">
        <f t="shared" si="19"/>
        <v>0</v>
      </c>
      <c r="AP85" s="270" t="str">
        <f t="shared" si="20"/>
        <v/>
      </c>
      <c r="AQ85" s="270">
        <f t="shared" si="21"/>
        <v>0</v>
      </c>
      <c r="AR85" s="270">
        <f t="shared" si="22"/>
        <v>0</v>
      </c>
      <c r="AS85" s="270">
        <f t="shared" si="23"/>
        <v>0</v>
      </c>
    </row>
    <row r="86" spans="1:45" s="48" customFormat="1" hidden="1">
      <c r="A86" s="146"/>
      <c r="B86" s="317"/>
      <c r="C86" s="63"/>
      <c r="D86" s="322"/>
      <c r="E86" s="320"/>
      <c r="F86" s="321"/>
      <c r="G86" s="401"/>
      <c r="H86" s="272"/>
      <c r="I86" s="63"/>
      <c r="J86" s="321"/>
      <c r="K86" s="272"/>
      <c r="L86" s="272"/>
      <c r="M86" s="272"/>
      <c r="N86" s="65"/>
      <c r="O86" s="62"/>
      <c r="P86" s="68"/>
      <c r="Q86" s="273"/>
      <c r="R86" s="274" t="str">
        <f>IF(ISERROR(IF(P86&gt;0,DATEDIF(P86,MIN(CAM!$D$4,Q86),"m"),"")),0,IF(P86&gt;0,DATEDIF(P86,MIN(CAM!$D$4,Q86),"m"),""))</f>
        <v/>
      </c>
      <c r="S86" s="274">
        <f t="shared" si="13"/>
        <v>0</v>
      </c>
      <c r="T86" s="63"/>
      <c r="U86" s="62"/>
      <c r="V86" s="67"/>
      <c r="W86" s="67"/>
      <c r="X86" s="67"/>
      <c r="Y86" s="67"/>
      <c r="Z86" s="67"/>
      <c r="AA86" s="67"/>
      <c r="AB86" s="67"/>
      <c r="AC86" s="67"/>
      <c r="AD86" s="67"/>
      <c r="AE86" s="67"/>
      <c r="AF86" s="67"/>
      <c r="AG86" s="67"/>
      <c r="AI86" s="270" t="str">
        <f t="shared" si="14"/>
        <v/>
      </c>
      <c r="AJ86" s="270" t="str">
        <f t="shared" si="15"/>
        <v/>
      </c>
      <c r="AK86" s="271">
        <f t="shared" si="24"/>
        <v>0</v>
      </c>
      <c r="AL86" s="270" t="str">
        <f t="shared" si="16"/>
        <v/>
      </c>
      <c r="AM86" s="270">
        <f t="shared" si="17"/>
        <v>0</v>
      </c>
      <c r="AN86" s="270" t="str">
        <f t="shared" si="18"/>
        <v/>
      </c>
      <c r="AO86" s="270">
        <f t="shared" si="19"/>
        <v>0</v>
      </c>
      <c r="AP86" s="270" t="str">
        <f t="shared" si="20"/>
        <v/>
      </c>
      <c r="AQ86" s="270">
        <f t="shared" si="21"/>
        <v>0</v>
      </c>
      <c r="AR86" s="270">
        <f t="shared" si="22"/>
        <v>0</v>
      </c>
      <c r="AS86" s="270">
        <f t="shared" si="23"/>
        <v>0</v>
      </c>
    </row>
    <row r="87" spans="1:45" s="48" customFormat="1" hidden="1">
      <c r="A87" s="146"/>
      <c r="B87" s="317"/>
      <c r="C87" s="63"/>
      <c r="D87" s="322"/>
      <c r="E87" s="320"/>
      <c r="F87" s="321"/>
      <c r="G87" s="401"/>
      <c r="H87" s="272"/>
      <c r="I87" s="63"/>
      <c r="J87" s="321"/>
      <c r="K87" s="272"/>
      <c r="L87" s="272"/>
      <c r="M87" s="272"/>
      <c r="N87" s="65"/>
      <c r="O87" s="62"/>
      <c r="P87" s="68"/>
      <c r="Q87" s="273"/>
      <c r="R87" s="274" t="str">
        <f>IF(ISERROR(IF(P87&gt;0,DATEDIF(P87,MIN(CAM!$D$4,Q87),"m"),"")),0,IF(P87&gt;0,DATEDIF(P87,MIN(CAM!$D$4,Q87),"m"),""))</f>
        <v/>
      </c>
      <c r="S87" s="274">
        <f t="shared" si="13"/>
        <v>0</v>
      </c>
      <c r="T87" s="63"/>
      <c r="U87" s="62"/>
      <c r="V87" s="67"/>
      <c r="W87" s="67"/>
      <c r="X87" s="67"/>
      <c r="Y87" s="67"/>
      <c r="Z87" s="67"/>
      <c r="AA87" s="67"/>
      <c r="AB87" s="67"/>
      <c r="AC87" s="67"/>
      <c r="AD87" s="67"/>
      <c r="AE87" s="67"/>
      <c r="AF87" s="67"/>
      <c r="AG87" s="67"/>
      <c r="AI87" s="270" t="str">
        <f t="shared" si="14"/>
        <v/>
      </c>
      <c r="AJ87" s="270" t="str">
        <f t="shared" si="15"/>
        <v/>
      </c>
      <c r="AK87" s="271">
        <f t="shared" si="24"/>
        <v>0</v>
      </c>
      <c r="AL87" s="270" t="str">
        <f t="shared" si="16"/>
        <v/>
      </c>
      <c r="AM87" s="270">
        <f t="shared" si="17"/>
        <v>0</v>
      </c>
      <c r="AN87" s="270" t="str">
        <f t="shared" si="18"/>
        <v/>
      </c>
      <c r="AO87" s="270">
        <f t="shared" si="19"/>
        <v>0</v>
      </c>
      <c r="AP87" s="270" t="str">
        <f t="shared" si="20"/>
        <v/>
      </c>
      <c r="AQ87" s="270">
        <f t="shared" si="21"/>
        <v>0</v>
      </c>
      <c r="AR87" s="270">
        <f t="shared" si="22"/>
        <v>0</v>
      </c>
      <c r="AS87" s="270">
        <f t="shared" si="23"/>
        <v>0</v>
      </c>
    </row>
    <row r="88" spans="1:45" s="48" customFormat="1" hidden="1">
      <c r="A88" s="146"/>
      <c r="B88" s="317"/>
      <c r="C88" s="63"/>
      <c r="D88" s="322"/>
      <c r="E88" s="320"/>
      <c r="F88" s="321"/>
      <c r="G88" s="401"/>
      <c r="H88" s="272"/>
      <c r="I88" s="63"/>
      <c r="J88" s="321"/>
      <c r="K88" s="272"/>
      <c r="L88" s="272"/>
      <c r="M88" s="272"/>
      <c r="N88" s="65"/>
      <c r="O88" s="62"/>
      <c r="P88" s="68"/>
      <c r="Q88" s="273"/>
      <c r="R88" s="274" t="str">
        <f>IF(ISERROR(IF(P88&gt;0,DATEDIF(P88,MIN(CAM!$D$4,Q88),"m"),"")),0,IF(P88&gt;0,DATEDIF(P88,MIN(CAM!$D$4,Q88),"m"),""))</f>
        <v/>
      </c>
      <c r="S88" s="274">
        <f t="shared" si="13"/>
        <v>0</v>
      </c>
      <c r="T88" s="63"/>
      <c r="U88" s="62"/>
      <c r="V88" s="67"/>
      <c r="W88" s="67"/>
      <c r="X88" s="67"/>
      <c r="Y88" s="67"/>
      <c r="Z88" s="67"/>
      <c r="AA88" s="67"/>
      <c r="AB88" s="67"/>
      <c r="AC88" s="67"/>
      <c r="AD88" s="67"/>
      <c r="AE88" s="67"/>
      <c r="AF88" s="67"/>
      <c r="AG88" s="67"/>
      <c r="AI88" s="270" t="str">
        <f t="shared" si="14"/>
        <v/>
      </c>
      <c r="AJ88" s="270" t="str">
        <f t="shared" si="15"/>
        <v/>
      </c>
      <c r="AK88" s="271">
        <f t="shared" si="24"/>
        <v>0</v>
      </c>
      <c r="AL88" s="270" t="str">
        <f t="shared" si="16"/>
        <v/>
      </c>
      <c r="AM88" s="270">
        <f t="shared" si="17"/>
        <v>0</v>
      </c>
      <c r="AN88" s="270" t="str">
        <f t="shared" si="18"/>
        <v/>
      </c>
      <c r="AO88" s="270">
        <f t="shared" si="19"/>
        <v>0</v>
      </c>
      <c r="AP88" s="270" t="str">
        <f t="shared" si="20"/>
        <v/>
      </c>
      <c r="AQ88" s="270">
        <f t="shared" si="21"/>
        <v>0</v>
      </c>
      <c r="AR88" s="270">
        <f t="shared" si="22"/>
        <v>0</v>
      </c>
      <c r="AS88" s="270">
        <f t="shared" si="23"/>
        <v>0</v>
      </c>
    </row>
    <row r="89" spans="1:45" s="48" customFormat="1" hidden="1">
      <c r="A89" s="146"/>
      <c r="B89" s="317"/>
      <c r="C89" s="63"/>
      <c r="D89" s="322"/>
      <c r="E89" s="320"/>
      <c r="F89" s="321"/>
      <c r="G89" s="401"/>
      <c r="H89" s="272"/>
      <c r="I89" s="63"/>
      <c r="J89" s="321"/>
      <c r="K89" s="272"/>
      <c r="L89" s="272"/>
      <c r="M89" s="272"/>
      <c r="N89" s="65"/>
      <c r="O89" s="62"/>
      <c r="P89" s="68"/>
      <c r="Q89" s="273"/>
      <c r="R89" s="274" t="str">
        <f>IF(ISERROR(IF(P89&gt;0,DATEDIF(P89,MIN(CAM!$D$4,Q89),"m"),"")),0,IF(P89&gt;0,DATEDIF(P89,MIN(CAM!$D$4,Q89),"m"),""))</f>
        <v/>
      </c>
      <c r="S89" s="274">
        <f t="shared" si="13"/>
        <v>0</v>
      </c>
      <c r="T89" s="63"/>
      <c r="U89" s="62"/>
      <c r="V89" s="67"/>
      <c r="W89" s="67"/>
      <c r="X89" s="67"/>
      <c r="Y89" s="67"/>
      <c r="Z89" s="67"/>
      <c r="AA89" s="67"/>
      <c r="AB89" s="67"/>
      <c r="AC89" s="67"/>
      <c r="AD89" s="67"/>
      <c r="AE89" s="67"/>
      <c r="AF89" s="67"/>
      <c r="AG89" s="67"/>
      <c r="AI89" s="270" t="str">
        <f t="shared" si="14"/>
        <v/>
      </c>
      <c r="AJ89" s="270" t="str">
        <f t="shared" si="15"/>
        <v/>
      </c>
      <c r="AK89" s="271">
        <f t="shared" si="24"/>
        <v>0</v>
      </c>
      <c r="AL89" s="270" t="str">
        <f t="shared" si="16"/>
        <v/>
      </c>
      <c r="AM89" s="270">
        <f t="shared" si="17"/>
        <v>0</v>
      </c>
      <c r="AN89" s="270" t="str">
        <f t="shared" si="18"/>
        <v/>
      </c>
      <c r="AO89" s="270">
        <f t="shared" si="19"/>
        <v>0</v>
      </c>
      <c r="AP89" s="270" t="str">
        <f t="shared" si="20"/>
        <v/>
      </c>
      <c r="AQ89" s="270">
        <f t="shared" si="21"/>
        <v>0</v>
      </c>
      <c r="AR89" s="270">
        <f t="shared" si="22"/>
        <v>0</v>
      </c>
      <c r="AS89" s="270">
        <f t="shared" si="23"/>
        <v>0</v>
      </c>
    </row>
    <row r="90" spans="1:45" s="48" customFormat="1" hidden="1">
      <c r="A90" s="146"/>
      <c r="B90" s="317"/>
      <c r="C90" s="63"/>
      <c r="D90" s="322"/>
      <c r="E90" s="320"/>
      <c r="F90" s="321"/>
      <c r="G90" s="401"/>
      <c r="H90" s="272"/>
      <c r="I90" s="63"/>
      <c r="J90" s="321"/>
      <c r="K90" s="272"/>
      <c r="L90" s="272"/>
      <c r="M90" s="272"/>
      <c r="N90" s="65"/>
      <c r="O90" s="62"/>
      <c r="P90" s="68"/>
      <c r="Q90" s="273"/>
      <c r="R90" s="274" t="str">
        <f>IF(ISERROR(IF(P90&gt;0,DATEDIF(P90,MIN(CAM!$D$4,Q90),"m"),"")),0,IF(P90&gt;0,DATEDIF(P90,MIN(CAM!$D$4,Q90),"m"),""))</f>
        <v/>
      </c>
      <c r="S90" s="274">
        <f t="shared" si="13"/>
        <v>0</v>
      </c>
      <c r="T90" s="63"/>
      <c r="U90" s="62"/>
      <c r="V90" s="67"/>
      <c r="W90" s="67"/>
      <c r="X90" s="67"/>
      <c r="Y90" s="67"/>
      <c r="Z90" s="67"/>
      <c r="AA90" s="67"/>
      <c r="AB90" s="67"/>
      <c r="AC90" s="67"/>
      <c r="AD90" s="67"/>
      <c r="AE90" s="67"/>
      <c r="AF90" s="67"/>
      <c r="AG90" s="67"/>
      <c r="AI90" s="270" t="str">
        <f t="shared" si="14"/>
        <v/>
      </c>
      <c r="AJ90" s="270" t="str">
        <f t="shared" si="15"/>
        <v/>
      </c>
      <c r="AK90" s="271">
        <f t="shared" si="24"/>
        <v>0</v>
      </c>
      <c r="AL90" s="270" t="str">
        <f t="shared" si="16"/>
        <v/>
      </c>
      <c r="AM90" s="270">
        <f t="shared" si="17"/>
        <v>0</v>
      </c>
      <c r="AN90" s="270" t="str">
        <f t="shared" si="18"/>
        <v/>
      </c>
      <c r="AO90" s="270">
        <f t="shared" si="19"/>
        <v>0</v>
      </c>
      <c r="AP90" s="270" t="str">
        <f t="shared" si="20"/>
        <v/>
      </c>
      <c r="AQ90" s="270">
        <f t="shared" si="21"/>
        <v>0</v>
      </c>
      <c r="AR90" s="270">
        <f t="shared" si="22"/>
        <v>0</v>
      </c>
      <c r="AS90" s="270">
        <f t="shared" si="23"/>
        <v>0</v>
      </c>
    </row>
    <row r="91" spans="1:45" s="48" customFormat="1" hidden="1">
      <c r="A91" s="146"/>
      <c r="B91" s="317"/>
      <c r="C91" s="63"/>
      <c r="D91" s="322"/>
      <c r="E91" s="320"/>
      <c r="F91" s="321"/>
      <c r="G91" s="401"/>
      <c r="H91" s="272"/>
      <c r="I91" s="63"/>
      <c r="J91" s="321"/>
      <c r="K91" s="272"/>
      <c r="L91" s="272"/>
      <c r="M91" s="272"/>
      <c r="N91" s="65"/>
      <c r="O91" s="62"/>
      <c r="P91" s="68"/>
      <c r="Q91" s="273"/>
      <c r="R91" s="274" t="str">
        <f>IF(ISERROR(IF(P91&gt;0,DATEDIF(P91,MIN(CAM!$D$4,Q91),"m"),"")),0,IF(P91&gt;0,DATEDIF(P91,MIN(CAM!$D$4,Q91),"m"),""))</f>
        <v/>
      </c>
      <c r="S91" s="274">
        <f t="shared" si="13"/>
        <v>0</v>
      </c>
      <c r="T91" s="63"/>
      <c r="U91" s="62"/>
      <c r="V91" s="67"/>
      <c r="W91" s="67"/>
      <c r="X91" s="67"/>
      <c r="Y91" s="67"/>
      <c r="Z91" s="67"/>
      <c r="AA91" s="67"/>
      <c r="AB91" s="67"/>
      <c r="AC91" s="67"/>
      <c r="AD91" s="67"/>
      <c r="AE91" s="67"/>
      <c r="AF91" s="67"/>
      <c r="AG91" s="67"/>
      <c r="AI91" s="270" t="str">
        <f t="shared" si="14"/>
        <v/>
      </c>
      <c r="AJ91" s="270" t="str">
        <f t="shared" si="15"/>
        <v/>
      </c>
      <c r="AK91" s="271">
        <f t="shared" si="24"/>
        <v>0</v>
      </c>
      <c r="AL91" s="270" t="str">
        <f t="shared" si="16"/>
        <v/>
      </c>
      <c r="AM91" s="270">
        <f t="shared" si="17"/>
        <v>0</v>
      </c>
      <c r="AN91" s="270" t="str">
        <f t="shared" si="18"/>
        <v/>
      </c>
      <c r="AO91" s="270">
        <f t="shared" si="19"/>
        <v>0</v>
      </c>
      <c r="AP91" s="270" t="str">
        <f t="shared" si="20"/>
        <v/>
      </c>
      <c r="AQ91" s="270">
        <f t="shared" si="21"/>
        <v>0</v>
      </c>
      <c r="AR91" s="270">
        <f t="shared" si="22"/>
        <v>0</v>
      </c>
      <c r="AS91" s="270">
        <f t="shared" si="23"/>
        <v>0</v>
      </c>
    </row>
    <row r="92" spans="1:45" s="48" customFormat="1" hidden="1">
      <c r="A92" s="146"/>
      <c r="B92" s="317"/>
      <c r="C92" s="63"/>
      <c r="D92" s="322"/>
      <c r="E92" s="320"/>
      <c r="F92" s="321"/>
      <c r="G92" s="401"/>
      <c r="H92" s="272"/>
      <c r="I92" s="63"/>
      <c r="J92" s="321"/>
      <c r="K92" s="272"/>
      <c r="L92" s="272"/>
      <c r="M92" s="272"/>
      <c r="N92" s="65"/>
      <c r="O92" s="62"/>
      <c r="P92" s="68"/>
      <c r="Q92" s="273"/>
      <c r="R92" s="274" t="str">
        <f>IF(ISERROR(IF(P92&gt;0,DATEDIF(P92,MIN(CAM!$D$4,Q92),"m"),"")),0,IF(P92&gt;0,DATEDIF(P92,MIN(CAM!$D$4,Q92),"m"),""))</f>
        <v/>
      </c>
      <c r="S92" s="274">
        <f t="shared" si="13"/>
        <v>0</v>
      </c>
      <c r="T92" s="63"/>
      <c r="U92" s="62"/>
      <c r="V92" s="67"/>
      <c r="W92" s="67"/>
      <c r="X92" s="67"/>
      <c r="Y92" s="67"/>
      <c r="Z92" s="67"/>
      <c r="AA92" s="67"/>
      <c r="AB92" s="67"/>
      <c r="AC92" s="67"/>
      <c r="AD92" s="67"/>
      <c r="AE92" s="67"/>
      <c r="AF92" s="67"/>
      <c r="AG92" s="67"/>
      <c r="AI92" s="270" t="str">
        <f t="shared" si="14"/>
        <v/>
      </c>
      <c r="AJ92" s="270" t="str">
        <f t="shared" si="15"/>
        <v/>
      </c>
      <c r="AK92" s="271">
        <f t="shared" si="24"/>
        <v>0</v>
      </c>
      <c r="AL92" s="270" t="str">
        <f t="shared" si="16"/>
        <v/>
      </c>
      <c r="AM92" s="270">
        <f t="shared" si="17"/>
        <v>0</v>
      </c>
      <c r="AN92" s="270" t="str">
        <f t="shared" si="18"/>
        <v/>
      </c>
      <c r="AO92" s="270">
        <f t="shared" si="19"/>
        <v>0</v>
      </c>
      <c r="AP92" s="270" t="str">
        <f t="shared" si="20"/>
        <v/>
      </c>
      <c r="AQ92" s="270">
        <f t="shared" si="21"/>
        <v>0</v>
      </c>
      <c r="AR92" s="270">
        <f t="shared" si="22"/>
        <v>0</v>
      </c>
      <c r="AS92" s="270">
        <f t="shared" si="23"/>
        <v>0</v>
      </c>
    </row>
    <row r="93" spans="1:45" s="48" customFormat="1" hidden="1">
      <c r="A93" s="146"/>
      <c r="B93" s="317"/>
      <c r="C93" s="63"/>
      <c r="D93" s="322"/>
      <c r="E93" s="320"/>
      <c r="F93" s="321"/>
      <c r="G93" s="401"/>
      <c r="H93" s="272"/>
      <c r="I93" s="63"/>
      <c r="J93" s="321"/>
      <c r="K93" s="272"/>
      <c r="L93" s="272"/>
      <c r="M93" s="272"/>
      <c r="N93" s="65"/>
      <c r="O93" s="62"/>
      <c r="P93" s="68"/>
      <c r="Q93" s="273"/>
      <c r="R93" s="274" t="str">
        <f>IF(ISERROR(IF(P93&gt;0,DATEDIF(P93,MIN(CAM!$D$4,Q93),"m"),"")),0,IF(P93&gt;0,DATEDIF(P93,MIN(CAM!$D$4,Q93),"m"),""))</f>
        <v/>
      </c>
      <c r="S93" s="274">
        <f t="shared" si="13"/>
        <v>0</v>
      </c>
      <c r="T93" s="63"/>
      <c r="U93" s="62"/>
      <c r="V93" s="67"/>
      <c r="W93" s="67"/>
      <c r="X93" s="67"/>
      <c r="Y93" s="67"/>
      <c r="Z93" s="67"/>
      <c r="AA93" s="67"/>
      <c r="AB93" s="67"/>
      <c r="AC93" s="67"/>
      <c r="AD93" s="67"/>
      <c r="AE93" s="67"/>
      <c r="AF93" s="67"/>
      <c r="AG93" s="67"/>
      <c r="AI93" s="270" t="str">
        <f t="shared" si="14"/>
        <v/>
      </c>
      <c r="AJ93" s="270" t="str">
        <f t="shared" si="15"/>
        <v/>
      </c>
      <c r="AK93" s="271">
        <f t="shared" si="24"/>
        <v>0</v>
      </c>
      <c r="AL93" s="270" t="str">
        <f t="shared" si="16"/>
        <v/>
      </c>
      <c r="AM93" s="270">
        <f t="shared" si="17"/>
        <v>0</v>
      </c>
      <c r="AN93" s="270" t="str">
        <f t="shared" si="18"/>
        <v/>
      </c>
      <c r="AO93" s="270">
        <f t="shared" si="19"/>
        <v>0</v>
      </c>
      <c r="AP93" s="270" t="str">
        <f t="shared" si="20"/>
        <v/>
      </c>
      <c r="AQ93" s="270">
        <f t="shared" si="21"/>
        <v>0</v>
      </c>
      <c r="AR93" s="270">
        <f t="shared" si="22"/>
        <v>0</v>
      </c>
      <c r="AS93" s="270">
        <f t="shared" si="23"/>
        <v>0</v>
      </c>
    </row>
    <row r="94" spans="1:45" s="48" customFormat="1" hidden="1">
      <c r="A94" s="146"/>
      <c r="B94" s="317"/>
      <c r="C94" s="63"/>
      <c r="D94" s="322"/>
      <c r="E94" s="320"/>
      <c r="F94" s="321"/>
      <c r="G94" s="401"/>
      <c r="H94" s="272"/>
      <c r="I94" s="63"/>
      <c r="J94" s="321"/>
      <c r="K94" s="272"/>
      <c r="L94" s="272"/>
      <c r="M94" s="272"/>
      <c r="N94" s="65"/>
      <c r="O94" s="62"/>
      <c r="P94" s="68"/>
      <c r="Q94" s="273"/>
      <c r="R94" s="274" t="str">
        <f>IF(ISERROR(IF(P94&gt;0,DATEDIF(P94,MIN(CAM!$D$4,Q94),"m"),"")),0,IF(P94&gt;0,DATEDIF(P94,MIN(CAM!$D$4,Q94),"m"),""))</f>
        <v/>
      </c>
      <c r="S94" s="274">
        <f t="shared" si="13"/>
        <v>0</v>
      </c>
      <c r="T94" s="63"/>
      <c r="U94" s="62"/>
      <c r="V94" s="67"/>
      <c r="W94" s="67"/>
      <c r="X94" s="67"/>
      <c r="Y94" s="67"/>
      <c r="Z94" s="67"/>
      <c r="AA94" s="67"/>
      <c r="AB94" s="67"/>
      <c r="AC94" s="67"/>
      <c r="AD94" s="67"/>
      <c r="AE94" s="67"/>
      <c r="AF94" s="67"/>
      <c r="AG94" s="67"/>
      <c r="AI94" s="270" t="str">
        <f t="shared" si="14"/>
        <v/>
      </c>
      <c r="AJ94" s="270" t="str">
        <f t="shared" si="15"/>
        <v/>
      </c>
      <c r="AK94" s="271">
        <f t="shared" si="24"/>
        <v>0</v>
      </c>
      <c r="AL94" s="270" t="str">
        <f t="shared" si="16"/>
        <v/>
      </c>
      <c r="AM94" s="270">
        <f t="shared" si="17"/>
        <v>0</v>
      </c>
      <c r="AN94" s="270" t="str">
        <f t="shared" si="18"/>
        <v/>
      </c>
      <c r="AO94" s="270">
        <f t="shared" si="19"/>
        <v>0</v>
      </c>
      <c r="AP94" s="270" t="str">
        <f t="shared" si="20"/>
        <v/>
      </c>
      <c r="AQ94" s="270">
        <f t="shared" si="21"/>
        <v>0</v>
      </c>
      <c r="AR94" s="270">
        <f t="shared" si="22"/>
        <v>0</v>
      </c>
      <c r="AS94" s="270">
        <f t="shared" si="23"/>
        <v>0</v>
      </c>
    </row>
    <row r="95" spans="1:45" s="48" customFormat="1" hidden="1">
      <c r="A95" s="146"/>
      <c r="B95" s="317"/>
      <c r="C95" s="63"/>
      <c r="D95" s="322"/>
      <c r="E95" s="320"/>
      <c r="F95" s="321"/>
      <c r="G95" s="401"/>
      <c r="H95" s="272"/>
      <c r="I95" s="63"/>
      <c r="J95" s="321"/>
      <c r="K95" s="272"/>
      <c r="L95" s="272"/>
      <c r="M95" s="272"/>
      <c r="N95" s="65"/>
      <c r="O95" s="62"/>
      <c r="P95" s="68"/>
      <c r="Q95" s="273"/>
      <c r="R95" s="274" t="str">
        <f>IF(ISERROR(IF(P95&gt;0,DATEDIF(P95,MIN(CAM!$D$4,Q95),"m"),"")),0,IF(P95&gt;0,DATEDIF(P95,MIN(CAM!$D$4,Q95),"m"),""))</f>
        <v/>
      </c>
      <c r="S95" s="274">
        <f t="shared" si="13"/>
        <v>0</v>
      </c>
      <c r="T95" s="63"/>
      <c r="U95" s="62"/>
      <c r="V95" s="67"/>
      <c r="W95" s="67"/>
      <c r="X95" s="67"/>
      <c r="Y95" s="67"/>
      <c r="Z95" s="67"/>
      <c r="AA95" s="67"/>
      <c r="AB95" s="67"/>
      <c r="AC95" s="67"/>
      <c r="AD95" s="67"/>
      <c r="AE95" s="67"/>
      <c r="AF95" s="67"/>
      <c r="AG95" s="67"/>
      <c r="AI95" s="270" t="str">
        <f t="shared" si="14"/>
        <v/>
      </c>
      <c r="AJ95" s="270" t="str">
        <f t="shared" si="15"/>
        <v/>
      </c>
      <c r="AK95" s="271">
        <f t="shared" si="24"/>
        <v>0</v>
      </c>
      <c r="AL95" s="270" t="str">
        <f t="shared" si="16"/>
        <v/>
      </c>
      <c r="AM95" s="270">
        <f t="shared" si="17"/>
        <v>0</v>
      </c>
      <c r="AN95" s="270" t="str">
        <f t="shared" si="18"/>
        <v/>
      </c>
      <c r="AO95" s="270">
        <f t="shared" si="19"/>
        <v>0</v>
      </c>
      <c r="AP95" s="270" t="str">
        <f t="shared" si="20"/>
        <v/>
      </c>
      <c r="AQ95" s="270">
        <f t="shared" si="21"/>
        <v>0</v>
      </c>
      <c r="AR95" s="270">
        <f t="shared" si="22"/>
        <v>0</v>
      </c>
      <c r="AS95" s="270">
        <f t="shared" si="23"/>
        <v>0</v>
      </c>
    </row>
    <row r="96" spans="1:45" s="48" customFormat="1" hidden="1">
      <c r="A96" s="146"/>
      <c r="B96" s="317"/>
      <c r="C96" s="63"/>
      <c r="D96" s="322"/>
      <c r="E96" s="320"/>
      <c r="F96" s="321"/>
      <c r="G96" s="401"/>
      <c r="H96" s="272"/>
      <c r="I96" s="63"/>
      <c r="J96" s="321"/>
      <c r="K96" s="272"/>
      <c r="L96" s="272"/>
      <c r="M96" s="272"/>
      <c r="N96" s="65"/>
      <c r="O96" s="62"/>
      <c r="P96" s="68"/>
      <c r="Q96" s="273"/>
      <c r="R96" s="274" t="str">
        <f>IF(ISERROR(IF(P96&gt;0,DATEDIF(P96,MIN(CAM!$D$4,Q96),"m"),"")),0,IF(P96&gt;0,DATEDIF(P96,MIN(CAM!$D$4,Q96),"m"),""))</f>
        <v/>
      </c>
      <c r="S96" s="274">
        <f t="shared" si="13"/>
        <v>0</v>
      </c>
      <c r="T96" s="63"/>
      <c r="U96" s="62"/>
      <c r="V96" s="67"/>
      <c r="W96" s="67"/>
      <c r="X96" s="67"/>
      <c r="Y96" s="67"/>
      <c r="Z96" s="67"/>
      <c r="AA96" s="67"/>
      <c r="AB96" s="67"/>
      <c r="AC96" s="67"/>
      <c r="AD96" s="67"/>
      <c r="AE96" s="67"/>
      <c r="AF96" s="67"/>
      <c r="AG96" s="67"/>
      <c r="AI96" s="270" t="str">
        <f t="shared" si="14"/>
        <v/>
      </c>
      <c r="AJ96" s="270" t="str">
        <f t="shared" si="15"/>
        <v/>
      </c>
      <c r="AK96" s="271">
        <f t="shared" si="24"/>
        <v>0</v>
      </c>
      <c r="AL96" s="270" t="str">
        <f t="shared" si="16"/>
        <v/>
      </c>
      <c r="AM96" s="270">
        <f t="shared" si="17"/>
        <v>0</v>
      </c>
      <c r="AN96" s="270" t="str">
        <f t="shared" si="18"/>
        <v/>
      </c>
      <c r="AO96" s="270">
        <f t="shared" si="19"/>
        <v>0</v>
      </c>
      <c r="AP96" s="270" t="str">
        <f t="shared" si="20"/>
        <v/>
      </c>
      <c r="AQ96" s="270">
        <f t="shared" si="21"/>
        <v>0</v>
      </c>
      <c r="AR96" s="270">
        <f t="shared" si="22"/>
        <v>0</v>
      </c>
      <c r="AS96" s="270">
        <f t="shared" si="23"/>
        <v>0</v>
      </c>
    </row>
    <row r="97" spans="1:45" s="48" customFormat="1" hidden="1">
      <c r="A97" s="146"/>
      <c r="B97" s="317"/>
      <c r="C97" s="63"/>
      <c r="D97" s="322"/>
      <c r="E97" s="320"/>
      <c r="F97" s="321"/>
      <c r="G97" s="401"/>
      <c r="H97" s="272"/>
      <c r="I97" s="63"/>
      <c r="J97" s="321"/>
      <c r="K97" s="272"/>
      <c r="L97" s="272"/>
      <c r="M97" s="272"/>
      <c r="N97" s="65"/>
      <c r="O97" s="62"/>
      <c r="P97" s="68"/>
      <c r="Q97" s="273"/>
      <c r="R97" s="274" t="str">
        <f>IF(ISERROR(IF(P97&gt;0,DATEDIF(P97,MIN(CAM!$D$4,Q97),"m"),"")),0,IF(P97&gt;0,DATEDIF(P97,MIN(CAM!$D$4,Q97),"m"),""))</f>
        <v/>
      </c>
      <c r="S97" s="274">
        <f t="shared" si="13"/>
        <v>0</v>
      </c>
      <c r="T97" s="63"/>
      <c r="U97" s="62"/>
      <c r="V97" s="67"/>
      <c r="W97" s="67"/>
      <c r="X97" s="67"/>
      <c r="Y97" s="67"/>
      <c r="Z97" s="67"/>
      <c r="AA97" s="67"/>
      <c r="AB97" s="67"/>
      <c r="AC97" s="67"/>
      <c r="AD97" s="67"/>
      <c r="AE97" s="67"/>
      <c r="AF97" s="67"/>
      <c r="AG97" s="67"/>
      <c r="AI97" s="270" t="str">
        <f t="shared" si="14"/>
        <v/>
      </c>
      <c r="AJ97" s="270" t="str">
        <f t="shared" si="15"/>
        <v/>
      </c>
      <c r="AK97" s="271">
        <f t="shared" si="24"/>
        <v>0</v>
      </c>
      <c r="AL97" s="270" t="str">
        <f t="shared" si="16"/>
        <v/>
      </c>
      <c r="AM97" s="270">
        <f t="shared" si="17"/>
        <v>0</v>
      </c>
      <c r="AN97" s="270" t="str">
        <f t="shared" si="18"/>
        <v/>
      </c>
      <c r="AO97" s="270">
        <f t="shared" si="19"/>
        <v>0</v>
      </c>
      <c r="AP97" s="270" t="str">
        <f t="shared" si="20"/>
        <v/>
      </c>
      <c r="AQ97" s="270">
        <f t="shared" si="21"/>
        <v>0</v>
      </c>
      <c r="AR97" s="270">
        <f t="shared" si="22"/>
        <v>0</v>
      </c>
      <c r="AS97" s="270">
        <f t="shared" si="23"/>
        <v>0</v>
      </c>
    </row>
    <row r="98" spans="1:45" s="48" customFormat="1" hidden="1">
      <c r="A98" s="146"/>
      <c r="B98" s="317"/>
      <c r="C98" s="63"/>
      <c r="D98" s="322"/>
      <c r="E98" s="320"/>
      <c r="F98" s="321"/>
      <c r="G98" s="401"/>
      <c r="H98" s="272"/>
      <c r="I98" s="63"/>
      <c r="J98" s="321"/>
      <c r="K98" s="272"/>
      <c r="L98" s="272"/>
      <c r="M98" s="272"/>
      <c r="N98" s="65"/>
      <c r="O98" s="62"/>
      <c r="P98" s="68"/>
      <c r="Q98" s="273"/>
      <c r="R98" s="274" t="str">
        <f>IF(ISERROR(IF(P98&gt;0,DATEDIF(P98,MIN(CAM!$D$4,Q98),"m"),"")),0,IF(P98&gt;0,DATEDIF(P98,MIN(CAM!$D$4,Q98),"m"),""))</f>
        <v/>
      </c>
      <c r="S98" s="274">
        <f t="shared" si="13"/>
        <v>0</v>
      </c>
      <c r="T98" s="63"/>
      <c r="U98" s="62"/>
      <c r="V98" s="67"/>
      <c r="W98" s="67"/>
      <c r="X98" s="67"/>
      <c r="Y98" s="67"/>
      <c r="Z98" s="67"/>
      <c r="AA98" s="67"/>
      <c r="AB98" s="67"/>
      <c r="AC98" s="67"/>
      <c r="AD98" s="67"/>
      <c r="AE98" s="67"/>
      <c r="AF98" s="67"/>
      <c r="AG98" s="67"/>
      <c r="AI98" s="270" t="str">
        <f t="shared" si="14"/>
        <v/>
      </c>
      <c r="AJ98" s="270" t="str">
        <f t="shared" si="15"/>
        <v/>
      </c>
      <c r="AK98" s="271">
        <f t="shared" si="24"/>
        <v>0</v>
      </c>
      <c r="AL98" s="270" t="str">
        <f t="shared" si="16"/>
        <v/>
      </c>
      <c r="AM98" s="270">
        <f t="shared" si="17"/>
        <v>0</v>
      </c>
      <c r="AN98" s="270" t="str">
        <f t="shared" si="18"/>
        <v/>
      </c>
      <c r="AO98" s="270">
        <f t="shared" si="19"/>
        <v>0</v>
      </c>
      <c r="AP98" s="270" t="str">
        <f t="shared" si="20"/>
        <v/>
      </c>
      <c r="AQ98" s="270">
        <f t="shared" si="21"/>
        <v>0</v>
      </c>
      <c r="AR98" s="270">
        <f t="shared" si="22"/>
        <v>0</v>
      </c>
      <c r="AS98" s="270">
        <f t="shared" si="23"/>
        <v>0</v>
      </c>
    </row>
    <row r="99" spans="1:45" s="48" customFormat="1" hidden="1">
      <c r="A99" s="146"/>
      <c r="B99" s="317"/>
      <c r="C99" s="63"/>
      <c r="D99" s="322"/>
      <c r="E99" s="320"/>
      <c r="F99" s="321"/>
      <c r="G99" s="401"/>
      <c r="H99" s="272"/>
      <c r="I99" s="63"/>
      <c r="J99" s="321"/>
      <c r="K99" s="272"/>
      <c r="L99" s="272"/>
      <c r="M99" s="272"/>
      <c r="N99" s="65"/>
      <c r="O99" s="62"/>
      <c r="P99" s="68"/>
      <c r="Q99" s="273"/>
      <c r="R99" s="274" t="str">
        <f>IF(ISERROR(IF(P99&gt;0,DATEDIF(P99,MIN(CAM!$D$4,Q99),"m"),"")),0,IF(P99&gt;0,DATEDIF(P99,MIN(CAM!$D$4,Q99),"m"),""))</f>
        <v/>
      </c>
      <c r="S99" s="274">
        <f t="shared" si="13"/>
        <v>0</v>
      </c>
      <c r="T99" s="63"/>
      <c r="U99" s="62"/>
      <c r="V99" s="67"/>
      <c r="W99" s="67"/>
      <c r="X99" s="67"/>
      <c r="Y99" s="67"/>
      <c r="Z99" s="67"/>
      <c r="AA99" s="67"/>
      <c r="AB99" s="67"/>
      <c r="AC99" s="67"/>
      <c r="AD99" s="67"/>
      <c r="AE99" s="67"/>
      <c r="AF99" s="67"/>
      <c r="AG99" s="67"/>
      <c r="AI99" s="270" t="str">
        <f t="shared" si="14"/>
        <v/>
      </c>
      <c r="AJ99" s="270" t="str">
        <f t="shared" si="15"/>
        <v/>
      </c>
      <c r="AK99" s="271">
        <f t="shared" si="24"/>
        <v>0</v>
      </c>
      <c r="AL99" s="270" t="str">
        <f t="shared" si="16"/>
        <v/>
      </c>
      <c r="AM99" s="270">
        <f t="shared" si="17"/>
        <v>0</v>
      </c>
      <c r="AN99" s="270" t="str">
        <f t="shared" si="18"/>
        <v/>
      </c>
      <c r="AO99" s="270">
        <f t="shared" si="19"/>
        <v>0</v>
      </c>
      <c r="AP99" s="270" t="str">
        <f t="shared" si="20"/>
        <v/>
      </c>
      <c r="AQ99" s="270">
        <f t="shared" si="21"/>
        <v>0</v>
      </c>
      <c r="AR99" s="270">
        <f t="shared" si="22"/>
        <v>0</v>
      </c>
      <c r="AS99" s="270">
        <f t="shared" si="23"/>
        <v>0</v>
      </c>
    </row>
    <row r="100" spans="1:45" s="48" customFormat="1" hidden="1">
      <c r="A100" s="146"/>
      <c r="B100" s="317"/>
      <c r="C100" s="63"/>
      <c r="D100" s="322"/>
      <c r="E100" s="320"/>
      <c r="F100" s="321"/>
      <c r="G100" s="401"/>
      <c r="H100" s="272"/>
      <c r="I100" s="63"/>
      <c r="J100" s="321"/>
      <c r="K100" s="272"/>
      <c r="L100" s="272"/>
      <c r="M100" s="272"/>
      <c r="N100" s="65"/>
      <c r="O100" s="62"/>
      <c r="P100" s="68"/>
      <c r="Q100" s="273"/>
      <c r="R100" s="274" t="str">
        <f>IF(ISERROR(IF(P100&gt;0,DATEDIF(P100,MIN(CAM!$D$4,Q100),"m"),"")),0,IF(P100&gt;0,DATEDIF(P100,MIN(CAM!$D$4,Q100),"m"),""))</f>
        <v/>
      </c>
      <c r="S100" s="274">
        <f t="shared" si="13"/>
        <v>0</v>
      </c>
      <c r="T100" s="63"/>
      <c r="U100" s="62"/>
      <c r="V100" s="67"/>
      <c r="W100" s="67"/>
      <c r="X100" s="67"/>
      <c r="Y100" s="67"/>
      <c r="Z100" s="67"/>
      <c r="AA100" s="67"/>
      <c r="AB100" s="67"/>
      <c r="AC100" s="67"/>
      <c r="AD100" s="67"/>
      <c r="AE100" s="67"/>
      <c r="AF100" s="67"/>
      <c r="AG100" s="67"/>
      <c r="AI100" s="270" t="str">
        <f t="shared" si="14"/>
        <v/>
      </c>
      <c r="AJ100" s="270" t="str">
        <f t="shared" si="15"/>
        <v/>
      </c>
      <c r="AK100" s="271">
        <f t="shared" si="24"/>
        <v>0</v>
      </c>
      <c r="AL100" s="270" t="str">
        <f t="shared" si="16"/>
        <v/>
      </c>
      <c r="AM100" s="270">
        <f t="shared" si="17"/>
        <v>0</v>
      </c>
      <c r="AN100" s="270" t="str">
        <f t="shared" si="18"/>
        <v/>
      </c>
      <c r="AO100" s="270">
        <f t="shared" si="19"/>
        <v>0</v>
      </c>
      <c r="AP100" s="270" t="str">
        <f t="shared" si="20"/>
        <v/>
      </c>
      <c r="AQ100" s="270">
        <f t="shared" si="21"/>
        <v>0</v>
      </c>
      <c r="AR100" s="270">
        <f t="shared" si="22"/>
        <v>0</v>
      </c>
      <c r="AS100" s="270">
        <f t="shared" si="23"/>
        <v>0</v>
      </c>
    </row>
    <row r="101" spans="1:45" s="48" customFormat="1" hidden="1">
      <c r="A101" s="146"/>
      <c r="B101" s="317"/>
      <c r="C101" s="63"/>
      <c r="D101" s="322"/>
      <c r="E101" s="320"/>
      <c r="F101" s="321"/>
      <c r="G101" s="401"/>
      <c r="H101" s="272"/>
      <c r="I101" s="63"/>
      <c r="J101" s="321"/>
      <c r="K101" s="272"/>
      <c r="L101" s="272"/>
      <c r="M101" s="272"/>
      <c r="N101" s="65"/>
      <c r="O101" s="62"/>
      <c r="P101" s="68"/>
      <c r="Q101" s="273"/>
      <c r="R101" s="274" t="str">
        <f>IF(ISERROR(IF(P101&gt;0,DATEDIF(P101,MIN(CAM!$D$4,Q101),"m"),"")),0,IF(P101&gt;0,DATEDIF(P101,MIN(CAM!$D$4,Q101),"m"),""))</f>
        <v/>
      </c>
      <c r="S101" s="274">
        <f t="shared" si="13"/>
        <v>0</v>
      </c>
      <c r="T101" s="63"/>
      <c r="U101" s="62"/>
      <c r="V101" s="67"/>
      <c r="W101" s="67"/>
      <c r="X101" s="67"/>
      <c r="Y101" s="67"/>
      <c r="Z101" s="67"/>
      <c r="AA101" s="67"/>
      <c r="AB101" s="67"/>
      <c r="AC101" s="67"/>
      <c r="AD101" s="67"/>
      <c r="AE101" s="67"/>
      <c r="AF101" s="67"/>
      <c r="AG101" s="67"/>
      <c r="AI101" s="270" t="str">
        <f t="shared" si="14"/>
        <v/>
      </c>
      <c r="AJ101" s="270" t="str">
        <f t="shared" si="15"/>
        <v/>
      </c>
      <c r="AK101" s="271">
        <f t="shared" si="24"/>
        <v>0</v>
      </c>
      <c r="AL101" s="270" t="str">
        <f t="shared" si="16"/>
        <v/>
      </c>
      <c r="AM101" s="270">
        <f t="shared" si="17"/>
        <v>0</v>
      </c>
      <c r="AN101" s="270" t="str">
        <f t="shared" si="18"/>
        <v/>
      </c>
      <c r="AO101" s="270">
        <f t="shared" si="19"/>
        <v>0</v>
      </c>
      <c r="AP101" s="270" t="str">
        <f t="shared" si="20"/>
        <v/>
      </c>
      <c r="AQ101" s="270">
        <f t="shared" si="21"/>
        <v>0</v>
      </c>
      <c r="AR101" s="270">
        <f t="shared" si="22"/>
        <v>0</v>
      </c>
      <c r="AS101" s="270">
        <f t="shared" si="23"/>
        <v>0</v>
      </c>
    </row>
    <row r="102" spans="1:45" s="48" customFormat="1" hidden="1">
      <c r="A102" s="146"/>
      <c r="B102" s="317"/>
      <c r="C102" s="63"/>
      <c r="D102" s="322"/>
      <c r="E102" s="320"/>
      <c r="F102" s="321"/>
      <c r="G102" s="401"/>
      <c r="H102" s="272"/>
      <c r="I102" s="63"/>
      <c r="J102" s="321"/>
      <c r="K102" s="272"/>
      <c r="L102" s="272"/>
      <c r="M102" s="272"/>
      <c r="N102" s="65"/>
      <c r="O102" s="62"/>
      <c r="P102" s="68"/>
      <c r="Q102" s="273"/>
      <c r="R102" s="274" t="str">
        <f>IF(ISERROR(IF(P102&gt;0,DATEDIF(P102,MIN(CAM!$D$4,Q102),"m"),"")),0,IF(P102&gt;0,DATEDIF(P102,MIN(CAM!$D$4,Q102),"m"),""))</f>
        <v/>
      </c>
      <c r="S102" s="274">
        <f t="shared" si="13"/>
        <v>0</v>
      </c>
      <c r="T102" s="63"/>
      <c r="U102" s="62"/>
      <c r="V102" s="67"/>
      <c r="W102" s="67"/>
      <c r="X102" s="67"/>
      <c r="Y102" s="67"/>
      <c r="Z102" s="67"/>
      <c r="AA102" s="67"/>
      <c r="AB102" s="67"/>
      <c r="AC102" s="67"/>
      <c r="AD102" s="67"/>
      <c r="AE102" s="67"/>
      <c r="AF102" s="67"/>
      <c r="AG102" s="67"/>
      <c r="AI102" s="270" t="str">
        <f t="shared" si="14"/>
        <v/>
      </c>
      <c r="AJ102" s="270" t="str">
        <f t="shared" si="15"/>
        <v/>
      </c>
      <c r="AK102" s="271">
        <f t="shared" si="24"/>
        <v>0</v>
      </c>
      <c r="AL102" s="270" t="str">
        <f t="shared" si="16"/>
        <v/>
      </c>
      <c r="AM102" s="270">
        <f t="shared" si="17"/>
        <v>0</v>
      </c>
      <c r="AN102" s="270" t="str">
        <f t="shared" si="18"/>
        <v/>
      </c>
      <c r="AO102" s="270">
        <f t="shared" si="19"/>
        <v>0</v>
      </c>
      <c r="AP102" s="270" t="str">
        <f t="shared" si="20"/>
        <v/>
      </c>
      <c r="AQ102" s="270">
        <f t="shared" si="21"/>
        <v>0</v>
      </c>
      <c r="AR102" s="270">
        <f t="shared" si="22"/>
        <v>0</v>
      </c>
      <c r="AS102" s="270">
        <f t="shared" si="23"/>
        <v>0</v>
      </c>
    </row>
    <row r="103" spans="1:45" s="48" customFormat="1" hidden="1">
      <c r="A103" s="146"/>
      <c r="B103" s="317"/>
      <c r="C103" s="63"/>
      <c r="D103" s="322"/>
      <c r="E103" s="320"/>
      <c r="F103" s="321"/>
      <c r="G103" s="401"/>
      <c r="H103" s="272"/>
      <c r="I103" s="63"/>
      <c r="J103" s="321"/>
      <c r="K103" s="272"/>
      <c r="L103" s="272"/>
      <c r="M103" s="272"/>
      <c r="N103" s="65"/>
      <c r="O103" s="62"/>
      <c r="P103" s="68"/>
      <c r="Q103" s="273"/>
      <c r="R103" s="274" t="str">
        <f>IF(ISERROR(IF(P103&gt;0,DATEDIF(P103,MIN(CAM!$D$4,Q103),"m"),"")),0,IF(P103&gt;0,DATEDIF(P103,MIN(CAM!$D$4,Q103),"m"),""))</f>
        <v/>
      </c>
      <c r="S103" s="274">
        <f t="shared" si="13"/>
        <v>0</v>
      </c>
      <c r="T103" s="63"/>
      <c r="U103" s="62"/>
      <c r="V103" s="67"/>
      <c r="W103" s="67"/>
      <c r="X103" s="67"/>
      <c r="Y103" s="67"/>
      <c r="Z103" s="67"/>
      <c r="AA103" s="67"/>
      <c r="AB103" s="67"/>
      <c r="AC103" s="67"/>
      <c r="AD103" s="67"/>
      <c r="AE103" s="67"/>
      <c r="AF103" s="67"/>
      <c r="AG103" s="67"/>
      <c r="AI103" s="270" t="str">
        <f t="shared" si="14"/>
        <v/>
      </c>
      <c r="AJ103" s="270" t="str">
        <f t="shared" si="15"/>
        <v/>
      </c>
      <c r="AK103" s="271">
        <f t="shared" si="24"/>
        <v>0</v>
      </c>
      <c r="AL103" s="270" t="str">
        <f t="shared" si="16"/>
        <v/>
      </c>
      <c r="AM103" s="270">
        <f t="shared" si="17"/>
        <v>0</v>
      </c>
      <c r="AN103" s="270" t="str">
        <f t="shared" si="18"/>
        <v/>
      </c>
      <c r="AO103" s="270">
        <f t="shared" si="19"/>
        <v>0</v>
      </c>
      <c r="AP103" s="270" t="str">
        <f t="shared" si="20"/>
        <v/>
      </c>
      <c r="AQ103" s="270">
        <f t="shared" si="21"/>
        <v>0</v>
      </c>
      <c r="AR103" s="270">
        <f t="shared" si="22"/>
        <v>0</v>
      </c>
      <c r="AS103" s="270">
        <f t="shared" si="23"/>
        <v>0</v>
      </c>
    </row>
    <row r="104" spans="1:45" s="48" customFormat="1" hidden="1">
      <c r="A104" s="146"/>
      <c r="B104" s="317"/>
      <c r="C104" s="63"/>
      <c r="D104" s="322"/>
      <c r="E104" s="320"/>
      <c r="F104" s="321"/>
      <c r="G104" s="401"/>
      <c r="H104" s="272"/>
      <c r="I104" s="63"/>
      <c r="J104" s="321"/>
      <c r="K104" s="272"/>
      <c r="L104" s="272"/>
      <c r="M104" s="272"/>
      <c r="N104" s="65"/>
      <c r="O104" s="62"/>
      <c r="P104" s="68"/>
      <c r="Q104" s="273"/>
      <c r="R104" s="274" t="str">
        <f>IF(ISERROR(IF(P104&gt;0,DATEDIF(P104,MIN(CAM!$D$4,Q104),"m"),"")),0,IF(P104&gt;0,DATEDIF(P104,MIN(CAM!$D$4,Q104),"m"),""))</f>
        <v/>
      </c>
      <c r="S104" s="274">
        <f t="shared" si="13"/>
        <v>0</v>
      </c>
      <c r="T104" s="63"/>
      <c r="U104" s="62"/>
      <c r="V104" s="67"/>
      <c r="W104" s="67"/>
      <c r="X104" s="67"/>
      <c r="Y104" s="67"/>
      <c r="Z104" s="67"/>
      <c r="AA104" s="67"/>
      <c r="AB104" s="67"/>
      <c r="AC104" s="67"/>
      <c r="AD104" s="67"/>
      <c r="AE104" s="67"/>
      <c r="AF104" s="67"/>
      <c r="AG104" s="67"/>
      <c r="AI104" s="270" t="str">
        <f t="shared" si="14"/>
        <v/>
      </c>
      <c r="AJ104" s="270" t="str">
        <f t="shared" si="15"/>
        <v/>
      </c>
      <c r="AK104" s="271">
        <f t="shared" si="24"/>
        <v>0</v>
      </c>
      <c r="AL104" s="270" t="str">
        <f t="shared" si="16"/>
        <v/>
      </c>
      <c r="AM104" s="270">
        <f t="shared" si="17"/>
        <v>0</v>
      </c>
      <c r="AN104" s="270" t="str">
        <f t="shared" si="18"/>
        <v/>
      </c>
      <c r="AO104" s="270">
        <f t="shared" si="19"/>
        <v>0</v>
      </c>
      <c r="AP104" s="270" t="str">
        <f t="shared" si="20"/>
        <v/>
      </c>
      <c r="AQ104" s="270">
        <f t="shared" si="21"/>
        <v>0</v>
      </c>
      <c r="AR104" s="270">
        <f t="shared" si="22"/>
        <v>0</v>
      </c>
      <c r="AS104" s="270">
        <f t="shared" si="23"/>
        <v>0</v>
      </c>
    </row>
    <row r="105" spans="1:45" s="48" customFormat="1" hidden="1">
      <c r="A105" s="146"/>
      <c r="B105" s="317"/>
      <c r="C105" s="63"/>
      <c r="D105" s="322"/>
      <c r="E105" s="320"/>
      <c r="F105" s="321"/>
      <c r="G105" s="401"/>
      <c r="H105" s="272"/>
      <c r="I105" s="63"/>
      <c r="J105" s="321"/>
      <c r="K105" s="272"/>
      <c r="L105" s="272"/>
      <c r="M105" s="272"/>
      <c r="N105" s="65"/>
      <c r="O105" s="62"/>
      <c r="P105" s="68"/>
      <c r="Q105" s="273"/>
      <c r="R105" s="274" t="str">
        <f>IF(ISERROR(IF(P105&gt;0,DATEDIF(P105,MIN(CAM!$D$4,Q105),"m"),"")),0,IF(P105&gt;0,DATEDIF(P105,MIN(CAM!$D$4,Q105),"m"),""))</f>
        <v/>
      </c>
      <c r="S105" s="274">
        <f t="shared" si="13"/>
        <v>0</v>
      </c>
      <c r="T105" s="63"/>
      <c r="U105" s="62"/>
      <c r="V105" s="67"/>
      <c r="W105" s="67"/>
      <c r="X105" s="67"/>
      <c r="Y105" s="67"/>
      <c r="Z105" s="67"/>
      <c r="AA105" s="67"/>
      <c r="AB105" s="67"/>
      <c r="AC105" s="67"/>
      <c r="AD105" s="67"/>
      <c r="AE105" s="67"/>
      <c r="AF105" s="67"/>
      <c r="AG105" s="67"/>
      <c r="AI105" s="270" t="str">
        <f t="shared" si="14"/>
        <v/>
      </c>
      <c r="AJ105" s="270" t="str">
        <f t="shared" si="15"/>
        <v/>
      </c>
      <c r="AK105" s="271">
        <f t="shared" si="24"/>
        <v>0</v>
      </c>
      <c r="AL105" s="270" t="str">
        <f t="shared" si="16"/>
        <v/>
      </c>
      <c r="AM105" s="270">
        <f t="shared" si="17"/>
        <v>0</v>
      </c>
      <c r="AN105" s="270" t="str">
        <f t="shared" si="18"/>
        <v/>
      </c>
      <c r="AO105" s="270">
        <f t="shared" si="19"/>
        <v>0</v>
      </c>
      <c r="AP105" s="270" t="str">
        <f t="shared" si="20"/>
        <v/>
      </c>
      <c r="AQ105" s="270">
        <f t="shared" si="21"/>
        <v>0</v>
      </c>
      <c r="AR105" s="270">
        <f t="shared" si="22"/>
        <v>0</v>
      </c>
      <c r="AS105" s="270">
        <f t="shared" si="23"/>
        <v>0</v>
      </c>
    </row>
    <row r="106" spans="1:45" s="48" customFormat="1">
      <c r="A106" s="146"/>
      <c r="B106" s="317"/>
      <c r="C106" s="63"/>
      <c r="D106" s="322"/>
      <c r="E106" s="320"/>
      <c r="F106" s="321"/>
      <c r="G106" s="401"/>
      <c r="H106" s="272"/>
      <c r="I106" s="63"/>
      <c r="J106" s="321"/>
      <c r="K106" s="272"/>
      <c r="L106" s="272"/>
      <c r="M106" s="272"/>
      <c r="N106" s="65"/>
      <c r="O106" s="62"/>
      <c r="P106" s="68"/>
      <c r="Q106" s="273"/>
      <c r="R106" s="274" t="str">
        <f>IF(ISERROR(IF(P106&gt;0,DATEDIF(P106,MIN(CAM!$D$4,Q106),"m"),"")),0,IF(P106&gt;0,DATEDIF(P106,MIN(CAM!$D$4,Q106),"m"),""))</f>
        <v/>
      </c>
      <c r="S106" s="274">
        <f t="shared" si="13"/>
        <v>0</v>
      </c>
      <c r="T106" s="63"/>
      <c r="U106" s="62"/>
      <c r="V106" s="67"/>
      <c r="W106" s="67"/>
      <c r="X106" s="67"/>
      <c r="Y106" s="67"/>
      <c r="Z106" s="67"/>
      <c r="AA106" s="67"/>
      <c r="AB106" s="67"/>
      <c r="AC106" s="67"/>
      <c r="AD106" s="67"/>
      <c r="AE106" s="67"/>
      <c r="AF106" s="67"/>
      <c r="AG106" s="67"/>
      <c r="AI106" s="270" t="str">
        <f t="shared" si="14"/>
        <v/>
      </c>
      <c r="AJ106" s="270" t="str">
        <f t="shared" si="15"/>
        <v/>
      </c>
      <c r="AK106" s="271">
        <f t="shared" si="24"/>
        <v>0</v>
      </c>
      <c r="AL106" s="270" t="str">
        <f t="shared" si="16"/>
        <v/>
      </c>
      <c r="AM106" s="270">
        <f t="shared" si="17"/>
        <v>0</v>
      </c>
      <c r="AN106" s="270" t="str">
        <f t="shared" si="18"/>
        <v/>
      </c>
      <c r="AO106" s="270">
        <f t="shared" si="19"/>
        <v>0</v>
      </c>
      <c r="AP106" s="270" t="str">
        <f t="shared" si="20"/>
        <v/>
      </c>
      <c r="AQ106" s="270">
        <f t="shared" si="21"/>
        <v>0</v>
      </c>
      <c r="AR106" s="270">
        <f t="shared" si="22"/>
        <v>0</v>
      </c>
      <c r="AS106" s="270">
        <f t="shared" si="23"/>
        <v>0</v>
      </c>
    </row>
    <row r="107" spans="1:45">
      <c r="A107" s="730" t="s">
        <v>153</v>
      </c>
      <c r="B107" s="730"/>
      <c r="C107" s="730"/>
      <c r="D107" s="730"/>
      <c r="E107" s="730"/>
      <c r="F107" s="730"/>
      <c r="G107" s="402">
        <f>SUM(G8:G106)</f>
        <v>0</v>
      </c>
      <c r="H107" s="69">
        <f>SUM(H8:H106)</f>
        <v>0</v>
      </c>
      <c r="I107" s="69">
        <f>SUM(I8:I106)</f>
        <v>0</v>
      </c>
      <c r="J107" s="70"/>
      <c r="K107" s="69">
        <f>SUM(K8:K106)</f>
        <v>0</v>
      </c>
      <c r="L107" s="69">
        <f>SUM(L8:L106)</f>
        <v>0</v>
      </c>
      <c r="M107" s="69">
        <f>SUM(M8:M106)</f>
        <v>0</v>
      </c>
      <c r="AH107" s="59"/>
      <c r="AI107" s="267"/>
      <c r="AJ107" s="267"/>
      <c r="AK107" s="269">
        <f>AK7</f>
        <v>43190</v>
      </c>
      <c r="AL107" s="267"/>
      <c r="AM107" s="269">
        <f>AM7</f>
        <v>43555</v>
      </c>
      <c r="AN107" s="267"/>
      <c r="AO107" s="269">
        <f>AO7</f>
        <v>43921</v>
      </c>
      <c r="AP107" s="267"/>
      <c r="AQ107" s="269">
        <f>AQ7</f>
        <v>44286</v>
      </c>
      <c r="AR107" s="358"/>
      <c r="AS107" s="269">
        <f>AS7</f>
        <v>44651</v>
      </c>
    </row>
    <row r="108" spans="1:45" s="48" customFormat="1">
      <c r="A108" s="47"/>
      <c r="B108" s="47"/>
      <c r="C108" s="47"/>
      <c r="D108" s="47"/>
      <c r="E108" s="47"/>
      <c r="F108" s="47"/>
      <c r="G108" s="403"/>
      <c r="H108" s="47"/>
      <c r="I108" s="47"/>
      <c r="J108" s="47"/>
      <c r="K108" s="47"/>
      <c r="L108" s="47"/>
      <c r="M108" s="47"/>
      <c r="N108" s="47"/>
      <c r="O108" s="47"/>
      <c r="P108" s="47"/>
      <c r="Q108" s="47"/>
      <c r="R108" s="47"/>
      <c r="S108" s="47"/>
      <c r="T108" s="47"/>
      <c r="U108" s="71"/>
      <c r="V108" s="47"/>
      <c r="W108" s="47"/>
      <c r="X108" s="47"/>
      <c r="Y108" s="47"/>
      <c r="Z108" s="47"/>
      <c r="AA108" s="47"/>
      <c r="AB108" s="47"/>
      <c r="AC108" s="47"/>
      <c r="AD108" s="47"/>
      <c r="AE108" s="47"/>
      <c r="AF108" s="47"/>
      <c r="AG108" s="47"/>
      <c r="AH108" s="47"/>
      <c r="AI108" s="722" t="s">
        <v>153</v>
      </c>
      <c r="AJ108" s="723"/>
      <c r="AK108" s="268">
        <f>SUM(AK8:AK106)</f>
        <v>0</v>
      </c>
      <c r="AL108" s="267"/>
      <c r="AM108" s="268">
        <f>SUM(AM8:AM106)</f>
        <v>0</v>
      </c>
      <c r="AN108" s="267"/>
      <c r="AO108" s="268">
        <f>SUM(AO8:AO106)</f>
        <v>0</v>
      </c>
      <c r="AP108" s="267"/>
      <c r="AQ108" s="268">
        <f>SUM(AQ8:AQ106)</f>
        <v>0</v>
      </c>
      <c r="AR108" s="358"/>
      <c r="AS108" s="268">
        <f>SUM(AS8:AS106)</f>
        <v>0</v>
      </c>
    </row>
    <row r="109" spans="1:45"/>
    <row r="110" spans="1:45">
      <c r="A110" s="715" t="s">
        <v>192</v>
      </c>
      <c r="B110" s="715"/>
      <c r="C110" s="715"/>
      <c r="D110" s="715"/>
      <c r="E110" s="715"/>
      <c r="F110" s="715"/>
      <c r="G110" s="715"/>
      <c r="H110" s="715"/>
      <c r="I110" s="715"/>
      <c r="J110" s="715"/>
      <c r="K110" s="715"/>
    </row>
    <row r="111" spans="1:45" s="75" customFormat="1" ht="42" customHeight="1">
      <c r="A111" s="72" t="s">
        <v>193</v>
      </c>
      <c r="B111" s="716" t="s">
        <v>194</v>
      </c>
      <c r="C111" s="717"/>
      <c r="D111" s="72" t="s">
        <v>195</v>
      </c>
      <c r="E111" s="72" t="s">
        <v>196</v>
      </c>
      <c r="F111" s="72" t="s">
        <v>176</v>
      </c>
      <c r="G111" s="404" t="s">
        <v>197</v>
      </c>
      <c r="H111" s="718" t="s">
        <v>198</v>
      </c>
      <c r="I111" s="718"/>
      <c r="J111" s="72" t="s">
        <v>199</v>
      </c>
      <c r="K111" s="72" t="s">
        <v>200</v>
      </c>
      <c r="L111" s="73"/>
      <c r="M111" s="73"/>
      <c r="N111" s="73"/>
      <c r="O111" s="73"/>
      <c r="P111" s="73"/>
      <c r="Q111" s="73"/>
      <c r="R111" s="73"/>
      <c r="S111" s="73"/>
      <c r="T111" s="73"/>
      <c r="U111" s="74"/>
      <c r="V111" s="73"/>
      <c r="W111" s="73"/>
      <c r="X111" s="73"/>
      <c r="Y111" s="73"/>
      <c r="Z111" s="73"/>
      <c r="AA111" s="73"/>
      <c r="AB111" s="73"/>
      <c r="AC111" s="73"/>
      <c r="AD111" s="73"/>
      <c r="AE111" s="73"/>
      <c r="AF111" s="73"/>
      <c r="AG111" s="73"/>
      <c r="AH111" s="73"/>
    </row>
    <row r="112" spans="1:45">
      <c r="A112" s="66">
        <v>1</v>
      </c>
      <c r="B112" s="706">
        <f>CAM!D18</f>
        <v>0</v>
      </c>
      <c r="C112" s="707"/>
      <c r="D112" s="66">
        <f>COUNTIF($B$8:B$106,B112)</f>
        <v>0</v>
      </c>
      <c r="E112" s="64">
        <f t="shared" ref="E112:E121" si="25">SUMIF($B$8:$B$106,B112,$G$8:$G$106)</f>
        <v>0</v>
      </c>
      <c r="F112" s="64">
        <f t="shared" ref="F112:F121" si="26">SUMIF($B$8:$B$106,B112,$H$8:$H$106)</f>
        <v>0</v>
      </c>
      <c r="G112" s="405">
        <f t="shared" ref="G112:G121" si="27">SUMIF($B$8:$B$106,B112,$I$8:$I$106)</f>
        <v>0</v>
      </c>
      <c r="H112" s="708">
        <f t="shared" ref="H112:H121" si="28">SUMIF($B$8:$B$106,B112,$L$8:$L$106)</f>
        <v>0</v>
      </c>
      <c r="I112" s="708"/>
      <c r="J112" s="64">
        <f t="shared" ref="J112:J121" si="29">SUMIF($B$8:$B$106,B112,$K$8:$K$106)</f>
        <v>0</v>
      </c>
      <c r="K112" s="66">
        <f t="shared" ref="K112:K121" si="30">SUMIF($B$8:$B$106,B112,$M$8:$M$106)</f>
        <v>0</v>
      </c>
    </row>
    <row r="113" spans="1:21">
      <c r="A113" s="66">
        <v>2</v>
      </c>
      <c r="B113" s="706" t="str">
        <f>CAM!D19</f>
        <v>Atrium Newgen Diagnostics</v>
      </c>
      <c r="C113" s="707"/>
      <c r="D113" s="66">
        <f>COUNTIF($B$8:B$106,B113)</f>
        <v>0</v>
      </c>
      <c r="E113" s="64">
        <f t="shared" si="25"/>
        <v>0</v>
      </c>
      <c r="F113" s="64">
        <f t="shared" si="26"/>
        <v>0</v>
      </c>
      <c r="G113" s="405">
        <f t="shared" si="27"/>
        <v>0</v>
      </c>
      <c r="H113" s="708">
        <f t="shared" si="28"/>
        <v>0</v>
      </c>
      <c r="I113" s="708"/>
      <c r="J113" s="64">
        <f t="shared" si="29"/>
        <v>0</v>
      </c>
      <c r="K113" s="66">
        <f t="shared" si="30"/>
        <v>0</v>
      </c>
    </row>
    <row r="114" spans="1:21">
      <c r="A114" s="66">
        <v>3</v>
      </c>
      <c r="B114" s="706" t="str">
        <f>CAM!D20</f>
        <v>Sandeep Shekhawat</v>
      </c>
      <c r="C114" s="707"/>
      <c r="D114" s="66">
        <f>COUNTIF($B$8:B$106,B114)</f>
        <v>0</v>
      </c>
      <c r="E114" s="64">
        <f t="shared" si="25"/>
        <v>0</v>
      </c>
      <c r="F114" s="64">
        <f t="shared" si="26"/>
        <v>0</v>
      </c>
      <c r="G114" s="405">
        <f t="shared" si="27"/>
        <v>0</v>
      </c>
      <c r="H114" s="708">
        <f t="shared" si="28"/>
        <v>0</v>
      </c>
      <c r="I114" s="708"/>
      <c r="J114" s="64">
        <f t="shared" si="29"/>
        <v>0</v>
      </c>
      <c r="K114" s="66">
        <f t="shared" si="30"/>
        <v>0</v>
      </c>
    </row>
    <row r="115" spans="1:21">
      <c r="A115" s="66">
        <v>4</v>
      </c>
      <c r="B115" s="706" t="str">
        <f>CAM!D21</f>
        <v>Neeraj Bhandari</v>
      </c>
      <c r="C115" s="707"/>
      <c r="D115" s="66">
        <f>COUNTIF($B$8:B$106,B115)</f>
        <v>0</v>
      </c>
      <c r="E115" s="64">
        <f t="shared" si="25"/>
        <v>0</v>
      </c>
      <c r="F115" s="64">
        <f t="shared" si="26"/>
        <v>0</v>
      </c>
      <c r="G115" s="405">
        <f t="shared" si="27"/>
        <v>0</v>
      </c>
      <c r="H115" s="708">
        <f t="shared" si="28"/>
        <v>0</v>
      </c>
      <c r="I115" s="708"/>
      <c r="J115" s="64">
        <f t="shared" si="29"/>
        <v>0</v>
      </c>
      <c r="K115" s="66">
        <f t="shared" si="30"/>
        <v>0</v>
      </c>
    </row>
    <row r="116" spans="1:21">
      <c r="A116" s="66">
        <v>5</v>
      </c>
      <c r="B116" s="706" t="str">
        <f>CAM!D22</f>
        <v>Dr. Nidhi Goyal</v>
      </c>
      <c r="C116" s="707"/>
      <c r="D116" s="66">
        <f>COUNTIF($B$8:B$106,B116)</f>
        <v>0</v>
      </c>
      <c r="E116" s="64">
        <f t="shared" si="25"/>
        <v>0</v>
      </c>
      <c r="F116" s="64">
        <f t="shared" si="26"/>
        <v>0</v>
      </c>
      <c r="G116" s="405">
        <f t="shared" si="27"/>
        <v>0</v>
      </c>
      <c r="H116" s="708">
        <f t="shared" si="28"/>
        <v>0</v>
      </c>
      <c r="I116" s="708"/>
      <c r="J116" s="64">
        <f t="shared" si="29"/>
        <v>0</v>
      </c>
      <c r="K116" s="66">
        <f t="shared" si="30"/>
        <v>0</v>
      </c>
    </row>
    <row r="117" spans="1:21" s="57" customFormat="1">
      <c r="A117" s="66">
        <v>6</v>
      </c>
      <c r="B117" s="706" t="str">
        <f>CAM!D23</f>
        <v>Dr. Saurabh Singh Gehlot</v>
      </c>
      <c r="C117" s="707"/>
      <c r="D117" s="66">
        <f>COUNTIF($B$8:B$106,B117)</f>
        <v>0</v>
      </c>
      <c r="E117" s="64">
        <f t="shared" si="25"/>
        <v>0</v>
      </c>
      <c r="F117" s="64">
        <f t="shared" si="26"/>
        <v>0</v>
      </c>
      <c r="G117" s="405">
        <f t="shared" si="27"/>
        <v>0</v>
      </c>
      <c r="H117" s="708">
        <f t="shared" si="28"/>
        <v>0</v>
      </c>
      <c r="I117" s="708"/>
      <c r="J117" s="64">
        <f t="shared" si="29"/>
        <v>0</v>
      </c>
      <c r="K117" s="66">
        <f t="shared" si="30"/>
        <v>0</v>
      </c>
      <c r="U117" s="58"/>
    </row>
    <row r="118" spans="1:21" s="57" customFormat="1">
      <c r="A118" s="66">
        <v>7</v>
      </c>
      <c r="B118" s="706" t="str">
        <f>CAM!D24</f>
        <v>Atul Kumar Agarwal</v>
      </c>
      <c r="C118" s="707"/>
      <c r="D118" s="66">
        <f>COUNTIF($B$8:B$106,B118)</f>
        <v>0</v>
      </c>
      <c r="E118" s="64">
        <f t="shared" si="25"/>
        <v>0</v>
      </c>
      <c r="F118" s="64">
        <f t="shared" si="26"/>
        <v>0</v>
      </c>
      <c r="G118" s="405">
        <f t="shared" si="27"/>
        <v>0</v>
      </c>
      <c r="H118" s="708">
        <f t="shared" si="28"/>
        <v>0</v>
      </c>
      <c r="I118" s="708"/>
      <c r="J118" s="64">
        <f t="shared" si="29"/>
        <v>0</v>
      </c>
      <c r="K118" s="66">
        <f t="shared" si="30"/>
        <v>0</v>
      </c>
      <c r="U118" s="58"/>
    </row>
    <row r="119" spans="1:21" s="57" customFormat="1">
      <c r="A119" s="66">
        <v>8</v>
      </c>
      <c r="B119" s="706">
        <f>CAM!D25</f>
        <v>0</v>
      </c>
      <c r="C119" s="707"/>
      <c r="D119" s="66">
        <f>COUNTIF($B$8:B$106,B119)</f>
        <v>0</v>
      </c>
      <c r="E119" s="64">
        <f t="shared" si="25"/>
        <v>0</v>
      </c>
      <c r="F119" s="64">
        <f t="shared" si="26"/>
        <v>0</v>
      </c>
      <c r="G119" s="405">
        <f t="shared" si="27"/>
        <v>0</v>
      </c>
      <c r="H119" s="708">
        <f t="shared" si="28"/>
        <v>0</v>
      </c>
      <c r="I119" s="708"/>
      <c r="J119" s="64">
        <f t="shared" si="29"/>
        <v>0</v>
      </c>
      <c r="K119" s="66">
        <f t="shared" si="30"/>
        <v>0</v>
      </c>
      <c r="U119" s="58"/>
    </row>
    <row r="120" spans="1:21" s="57" customFormat="1">
      <c r="A120" s="66">
        <v>9</v>
      </c>
      <c r="B120" s="706">
        <f>CAM!D26</f>
        <v>0</v>
      </c>
      <c r="C120" s="707"/>
      <c r="D120" s="66">
        <f>COUNTIF($B$8:B$106,B120)</f>
        <v>0</v>
      </c>
      <c r="E120" s="64">
        <f t="shared" si="25"/>
        <v>0</v>
      </c>
      <c r="F120" s="64">
        <f t="shared" si="26"/>
        <v>0</v>
      </c>
      <c r="G120" s="405">
        <f t="shared" si="27"/>
        <v>0</v>
      </c>
      <c r="H120" s="708">
        <f t="shared" si="28"/>
        <v>0</v>
      </c>
      <c r="I120" s="708"/>
      <c r="J120" s="64">
        <f t="shared" si="29"/>
        <v>0</v>
      </c>
      <c r="K120" s="66">
        <f t="shared" si="30"/>
        <v>0</v>
      </c>
      <c r="U120" s="58"/>
    </row>
    <row r="121" spans="1:21" s="57" customFormat="1">
      <c r="A121" s="66">
        <v>10</v>
      </c>
      <c r="B121" s="706">
        <f>CAM!D27</f>
        <v>0</v>
      </c>
      <c r="C121" s="707"/>
      <c r="D121" s="66">
        <f>COUNTIF($B$8:B$106,B121)</f>
        <v>0</v>
      </c>
      <c r="E121" s="64">
        <f t="shared" si="25"/>
        <v>0</v>
      </c>
      <c r="F121" s="64">
        <f t="shared" si="26"/>
        <v>0</v>
      </c>
      <c r="G121" s="405">
        <f t="shared" si="27"/>
        <v>0</v>
      </c>
      <c r="H121" s="708">
        <f t="shared" si="28"/>
        <v>0</v>
      </c>
      <c r="I121" s="708"/>
      <c r="J121" s="64">
        <f t="shared" si="29"/>
        <v>0</v>
      </c>
      <c r="K121" s="66">
        <f t="shared" si="30"/>
        <v>0</v>
      </c>
      <c r="U121" s="58"/>
    </row>
    <row r="122" spans="1:21" s="57" customFormat="1">
      <c r="A122" s="76"/>
      <c r="B122" s="709" t="s">
        <v>153</v>
      </c>
      <c r="C122" s="710"/>
      <c r="D122" s="69">
        <f>SUM(D112:D121)</f>
        <v>0</v>
      </c>
      <c r="E122" s="69">
        <f>SUM(E112:E121)</f>
        <v>0</v>
      </c>
      <c r="F122" s="69">
        <f>SUM(F112:F121)</f>
        <v>0</v>
      </c>
      <c r="G122" s="402">
        <f>SUM(G112:G121)</f>
        <v>0</v>
      </c>
      <c r="H122" s="711">
        <f>SUM(H112:H121)</f>
        <v>0</v>
      </c>
      <c r="I122" s="712"/>
      <c r="J122" s="69">
        <f>SUM(J112:J121)</f>
        <v>0</v>
      </c>
      <c r="K122" s="69">
        <f>SUM(K112:K121)</f>
        <v>0</v>
      </c>
      <c r="U122" s="58"/>
    </row>
    <row r="123" spans="1:21"/>
    <row r="124" spans="1:21"/>
  </sheetData>
  <mergeCells count="59">
    <mergeCell ref="AI108:AJ108"/>
    <mergeCell ref="D4:E4"/>
    <mergeCell ref="G4:J4"/>
    <mergeCell ref="A1:AG1"/>
    <mergeCell ref="A2:B2"/>
    <mergeCell ref="D2:E2"/>
    <mergeCell ref="G2:J2"/>
    <mergeCell ref="A3:B3"/>
    <mergeCell ref="D3:E3"/>
    <mergeCell ref="G3:J3"/>
    <mergeCell ref="A4:B4"/>
    <mergeCell ref="U6:U7"/>
    <mergeCell ref="V6:AG6"/>
    <mergeCell ref="A107:F107"/>
    <mergeCell ref="L6:L7"/>
    <mergeCell ref="M6:M7"/>
    <mergeCell ref="B113:C113"/>
    <mergeCell ref="H113:I113"/>
    <mergeCell ref="R6:R7"/>
    <mergeCell ref="S6:S7"/>
    <mergeCell ref="N6:N7"/>
    <mergeCell ref="O6:O7"/>
    <mergeCell ref="P6:P7"/>
    <mergeCell ref="Q6:Q7"/>
    <mergeCell ref="F6:F7"/>
    <mergeCell ref="G6:G7"/>
    <mergeCell ref="H6:H7"/>
    <mergeCell ref="I6:I7"/>
    <mergeCell ref="J6:J7"/>
    <mergeCell ref="K6:K7"/>
    <mergeCell ref="T6:T7"/>
    <mergeCell ref="A110:K110"/>
    <mergeCell ref="B111:C111"/>
    <mergeCell ref="H111:I111"/>
    <mergeCell ref="B112:C112"/>
    <mergeCell ref="H112:I112"/>
    <mergeCell ref="A6:A7"/>
    <mergeCell ref="B6:B7"/>
    <mergeCell ref="C6:C7"/>
    <mergeCell ref="D6:D7"/>
    <mergeCell ref="E6:E7"/>
    <mergeCell ref="B114:C114"/>
    <mergeCell ref="H114:I114"/>
    <mergeCell ref="B115:C115"/>
    <mergeCell ref="H115:I115"/>
    <mergeCell ref="B116:C116"/>
    <mergeCell ref="H116:I116"/>
    <mergeCell ref="B117:C117"/>
    <mergeCell ref="H117:I117"/>
    <mergeCell ref="B118:C118"/>
    <mergeCell ref="H118:I118"/>
    <mergeCell ref="B119:C119"/>
    <mergeCell ref="H119:I119"/>
    <mergeCell ref="B120:C120"/>
    <mergeCell ref="H120:I120"/>
    <mergeCell ref="B121:C121"/>
    <mergeCell ref="H121:I121"/>
    <mergeCell ref="B122:C122"/>
    <mergeCell ref="H122:I122"/>
  </mergeCells>
  <conditionalFormatting sqref="V6:AG7">
    <cfRule type="beginsWith" dxfId="165" priority="364" operator="beginsWith" text="B"/>
  </conditionalFormatting>
  <conditionalFormatting sqref="V6:AG7">
    <cfRule type="beginsWith" dxfId="164" priority="365" operator="beginsWith" text="B"/>
  </conditionalFormatting>
  <conditionalFormatting sqref="V6:AG7">
    <cfRule type="beginsWith" dxfId="163" priority="366" operator="beginsWith" text="B"/>
  </conditionalFormatting>
  <conditionalFormatting sqref="AB6:AG7">
    <cfRule type="beginsWith" dxfId="162" priority="367" operator="beginsWith" text="B"/>
  </conditionalFormatting>
  <conditionalFormatting sqref="V6:AG7">
    <cfRule type="beginsWith" dxfId="161" priority="368" operator="beginsWith" text="B"/>
  </conditionalFormatting>
  <conditionalFormatting sqref="V6:AG7">
    <cfRule type="beginsWith" dxfId="160" priority="369" operator="beginsWith" text="B"/>
  </conditionalFormatting>
  <conditionalFormatting sqref="V6:AB7 AC7:AE7">
    <cfRule type="beginsWith" dxfId="159" priority="370" operator="beginsWith" text="B"/>
  </conditionalFormatting>
  <conditionalFormatting sqref="AF7:AG7">
    <cfRule type="beginsWith" dxfId="158" priority="363" operator="beginsWith" text="B"/>
  </conditionalFormatting>
  <conditionalFormatting sqref="F3">
    <cfRule type="containsBlanks" dxfId="157" priority="361">
      <formula>LEN(TRIM(F3))=0</formula>
    </cfRule>
  </conditionalFormatting>
  <conditionalFormatting sqref="V22:AG22 AD23:AG26 V27:AG106">
    <cfRule type="expression" dxfId="156" priority="311">
      <formula>V22="B&gt;30 days"</formula>
    </cfRule>
    <cfRule type="expression" dxfId="155" priority="312">
      <formula>V22="B&lt;30 days"</formula>
    </cfRule>
    <cfRule type="expression" dxfId="154" priority="313">
      <formula>V22="B&lt;15 days"</formula>
    </cfRule>
    <cfRule type="expression" dxfId="153" priority="314">
      <formula>V22="B&lt;10 days"</formula>
    </cfRule>
    <cfRule type="expression" dxfId="152" priority="315">
      <formula>V22="Bounced"</formula>
    </cfRule>
  </conditionalFormatting>
  <conditionalFormatting sqref="K3">
    <cfRule type="containsBlanks" dxfId="151" priority="310">
      <formula>LEN(TRIM(K3))=0</formula>
    </cfRule>
  </conditionalFormatting>
  <conditionalFormatting sqref="K4">
    <cfRule type="containsBlanks" dxfId="150" priority="309">
      <formula>LEN(TRIM(K4))=0</formula>
    </cfRule>
  </conditionalFormatting>
  <conditionalFormatting sqref="C3">
    <cfRule type="containsBlanks" dxfId="149" priority="307">
      <formula>LEN(TRIM(C3))=0</formula>
    </cfRule>
  </conditionalFormatting>
  <conditionalFormatting sqref="K2">
    <cfRule type="containsBlanks" dxfId="148" priority="306">
      <formula>LEN(TRIM(K2))=0</formula>
    </cfRule>
  </conditionalFormatting>
  <conditionalFormatting sqref="AG10:AG11 Z14:AB14 W18:AB18 W16:AB16 AD16:AG19 W20:AG20 AD12:AG14 Z15:AG15 AD21:AG21 Z22:AC22">
    <cfRule type="expression" dxfId="147" priority="166">
      <formula>W10="B&gt;30 days"</formula>
    </cfRule>
    <cfRule type="expression" dxfId="146" priority="167">
      <formula>W10="B&lt;30 days"</formula>
    </cfRule>
    <cfRule type="expression" dxfId="145" priority="168">
      <formula>W10="B&lt;15 days"</formula>
    </cfRule>
    <cfRule type="expression" dxfId="144" priority="169">
      <formula>W10="B&lt;10 days"</formula>
    </cfRule>
    <cfRule type="expression" dxfId="143" priority="170">
      <formula>W10="Bounced"</formula>
    </cfRule>
  </conditionalFormatting>
  <conditionalFormatting sqref="V16:V21">
    <cfRule type="expression" dxfId="142" priority="171">
      <formula>V16="B&gt;30 days"</formula>
    </cfRule>
    <cfRule type="expression" dxfId="141" priority="172">
      <formula>V16="B&lt;30 days"</formula>
    </cfRule>
    <cfRule type="expression" dxfId="140" priority="173">
      <formula>V16="B&lt;15 days"</formula>
    </cfRule>
    <cfRule type="expression" dxfId="139" priority="174">
      <formula>V16="B&lt;10 days"</formula>
    </cfRule>
    <cfRule type="expression" dxfId="138" priority="175">
      <formula>V16="Bounced"</formula>
    </cfRule>
  </conditionalFormatting>
  <conditionalFormatting sqref="V8:V9">
    <cfRule type="expression" dxfId="137" priority="161">
      <formula>V8="B&gt;30 days"</formula>
    </cfRule>
    <cfRule type="expression" dxfId="136" priority="162">
      <formula>V8="B&lt;30 days"</formula>
    </cfRule>
    <cfRule type="expression" dxfId="135" priority="163">
      <formula>V8="B&lt;15 days"</formula>
    </cfRule>
    <cfRule type="expression" dxfId="134" priority="164">
      <formula>V8="B&lt;10 days"</formula>
    </cfRule>
    <cfRule type="expression" dxfId="133" priority="165">
      <formula>V8="Bounced"</formula>
    </cfRule>
  </conditionalFormatting>
  <conditionalFormatting sqref="W9:AG9 AD11:AF11 Z10:AB13 W10:X15 AD8:AG8">
    <cfRule type="expression" dxfId="132" priority="156">
      <formula>W8="B&gt;30 days"</formula>
    </cfRule>
    <cfRule type="expression" dxfId="131" priority="157">
      <formula>W8="B&lt;30 days"</formula>
    </cfRule>
    <cfRule type="expression" dxfId="130" priority="158">
      <formula>W8="B&lt;15 days"</formula>
    </cfRule>
    <cfRule type="expression" dxfId="129" priority="159">
      <formula>W8="B&lt;10 days"</formula>
    </cfRule>
    <cfRule type="expression" dxfId="128" priority="160">
      <formula>W8="Bounced"</formula>
    </cfRule>
  </conditionalFormatting>
  <conditionalFormatting sqref="V17">
    <cfRule type="expression" dxfId="127" priority="141">
      <formula>V17="B&gt;30 days"</formula>
    </cfRule>
    <cfRule type="expression" dxfId="126" priority="142">
      <formula>V17="B&lt;30 days"</formula>
    </cfRule>
    <cfRule type="expression" dxfId="125" priority="143">
      <formula>V17="B&lt;15 days"</formula>
    </cfRule>
    <cfRule type="expression" dxfId="124" priority="144">
      <formula>V17="B&lt;10 days"</formula>
    </cfRule>
    <cfRule type="expression" dxfId="123" priority="145">
      <formula>V17="Bounced"</formula>
    </cfRule>
  </conditionalFormatting>
  <conditionalFormatting sqref="W20:X20">
    <cfRule type="expression" dxfId="122" priority="136">
      <formula>W20="B&gt;30 days"</formula>
    </cfRule>
    <cfRule type="expression" dxfId="121" priority="137">
      <formula>W20="B&lt;30 days"</formula>
    </cfRule>
    <cfRule type="expression" dxfId="120" priority="138">
      <formula>W20="B&lt;15 days"</formula>
    </cfRule>
    <cfRule type="expression" dxfId="119" priority="139">
      <formula>W20="B&lt;10 days"</formula>
    </cfRule>
    <cfRule type="expression" dxfId="118" priority="140">
      <formula>W20="Bounced"</formula>
    </cfRule>
  </conditionalFormatting>
  <conditionalFormatting sqref="V20">
    <cfRule type="expression" dxfId="117" priority="131">
      <formula>V20="B&gt;30 days"</formula>
    </cfRule>
    <cfRule type="expression" dxfId="116" priority="132">
      <formula>V20="B&lt;30 days"</formula>
    </cfRule>
    <cfRule type="expression" dxfId="115" priority="133">
      <formula>V20="B&lt;15 days"</formula>
    </cfRule>
    <cfRule type="expression" dxfId="114" priority="134">
      <formula>V20="B&lt;10 days"</formula>
    </cfRule>
    <cfRule type="expression" dxfId="113" priority="135">
      <formula>V20="Bounced"</formula>
    </cfRule>
  </conditionalFormatting>
  <conditionalFormatting sqref="V16">
    <cfRule type="expression" dxfId="112" priority="126">
      <formula>V16="B&gt;30 days"</formula>
    </cfRule>
    <cfRule type="expression" dxfId="111" priority="127">
      <formula>V16="B&lt;30 days"</formula>
    </cfRule>
    <cfRule type="expression" dxfId="110" priority="128">
      <formula>V16="B&lt;15 days"</formula>
    </cfRule>
    <cfRule type="expression" dxfId="109" priority="129">
      <formula>V16="B&lt;10 days"</formula>
    </cfRule>
    <cfRule type="expression" dxfId="108" priority="130">
      <formula>V16="Bounced"</formula>
    </cfRule>
  </conditionalFormatting>
  <conditionalFormatting sqref="V19">
    <cfRule type="expression" dxfId="107" priority="116">
      <formula>V19="B&gt;30 days"</formula>
    </cfRule>
    <cfRule type="expression" dxfId="106" priority="117">
      <formula>V19="B&lt;30 days"</formula>
    </cfRule>
    <cfRule type="expression" dxfId="105" priority="118">
      <formula>V19="B&lt;15 days"</formula>
    </cfRule>
    <cfRule type="expression" dxfId="104" priority="119">
      <formula>V19="B&lt;10 days"</formula>
    </cfRule>
    <cfRule type="expression" dxfId="103" priority="120">
      <formula>V19="Bounced"</formula>
    </cfRule>
  </conditionalFormatting>
  <conditionalFormatting sqref="AF10">
    <cfRule type="expression" dxfId="102" priority="111">
      <formula>AF10="B&gt;30 days"</formula>
    </cfRule>
    <cfRule type="expression" dxfId="101" priority="112">
      <formula>AF10="B&lt;30 days"</formula>
    </cfRule>
    <cfRule type="expression" dxfId="100" priority="113">
      <formula>AF10="B&lt;15 days"</formula>
    </cfRule>
    <cfRule type="expression" dxfId="99" priority="114">
      <formula>AF10="B&lt;10 days"</formula>
    </cfRule>
    <cfRule type="expression" dxfId="98" priority="115">
      <formula>AF10="Bounced"</formula>
    </cfRule>
  </conditionalFormatting>
  <conditionalFormatting sqref="AE10">
    <cfRule type="expression" dxfId="97" priority="106">
      <formula>AE10="B&gt;30 days"</formula>
    </cfRule>
    <cfRule type="expression" dxfId="96" priority="107">
      <formula>AE10="B&lt;30 days"</formula>
    </cfRule>
    <cfRule type="expression" dxfId="95" priority="108">
      <formula>AE10="B&lt;15 days"</formula>
    </cfRule>
    <cfRule type="expression" dxfId="94" priority="109">
      <formula>AE10="B&lt;10 days"</formula>
    </cfRule>
    <cfRule type="expression" dxfId="93" priority="110">
      <formula>AE10="Bounced"</formula>
    </cfRule>
  </conditionalFormatting>
  <conditionalFormatting sqref="AD10">
    <cfRule type="expression" dxfId="92" priority="101">
      <formula>AD10="B&gt;30 days"</formula>
    </cfRule>
    <cfRule type="expression" dxfId="91" priority="102">
      <formula>AD10="B&lt;30 days"</formula>
    </cfRule>
    <cfRule type="expression" dxfId="90" priority="103">
      <formula>AD10="B&lt;15 days"</formula>
    </cfRule>
    <cfRule type="expression" dxfId="89" priority="104">
      <formula>AD10="B&lt;10 days"</formula>
    </cfRule>
    <cfRule type="expression" dxfId="88" priority="105">
      <formula>AD10="Bounced"</formula>
    </cfRule>
  </conditionalFormatting>
  <conditionalFormatting sqref="AC10:AC13">
    <cfRule type="expression" dxfId="87" priority="96">
      <formula>AC10="B&gt;30 days"</formula>
    </cfRule>
    <cfRule type="expression" dxfId="86" priority="97">
      <formula>AC10="B&lt;30 days"</formula>
    </cfRule>
    <cfRule type="expression" dxfId="85" priority="98">
      <formula>AC10="B&lt;15 days"</formula>
    </cfRule>
    <cfRule type="expression" dxfId="84" priority="99">
      <formula>AC10="B&lt;10 days"</formula>
    </cfRule>
    <cfRule type="expression" dxfId="83" priority="100">
      <formula>AC10="Bounced"</formula>
    </cfRule>
  </conditionalFormatting>
  <conditionalFormatting sqref="Y10:Y15">
    <cfRule type="expression" dxfId="82" priority="91">
      <formula>Y10="B&gt;30 days"</formula>
    </cfRule>
    <cfRule type="expression" dxfId="81" priority="92">
      <formula>Y10="B&lt;30 days"</formula>
    </cfRule>
    <cfRule type="expression" dxfId="80" priority="93">
      <formula>Y10="B&lt;15 days"</formula>
    </cfRule>
    <cfRule type="expression" dxfId="79" priority="94">
      <formula>Y10="B&lt;10 days"</formula>
    </cfRule>
    <cfRule type="expression" dxfId="78" priority="95">
      <formula>Y10="Bounced"</formula>
    </cfRule>
  </conditionalFormatting>
  <conditionalFormatting sqref="V10:V15">
    <cfRule type="expression" dxfId="77" priority="86">
      <formula>V10="B&gt;30 days"</formula>
    </cfRule>
    <cfRule type="expression" dxfId="76" priority="87">
      <formula>V10="B&lt;30 days"</formula>
    </cfRule>
    <cfRule type="expression" dxfId="75" priority="88">
      <formula>V10="B&lt;15 days"</formula>
    </cfRule>
    <cfRule type="expression" dxfId="74" priority="89">
      <formula>V10="B&lt;10 days"</formula>
    </cfRule>
    <cfRule type="expression" dxfId="73" priority="90">
      <formula>V10="Bounced"</formula>
    </cfRule>
  </conditionalFormatting>
  <conditionalFormatting sqref="AC14">
    <cfRule type="expression" dxfId="72" priority="81">
      <formula>AC14="B&gt;30 days"</formula>
    </cfRule>
    <cfRule type="expression" dxfId="71" priority="82">
      <formula>AC14="B&lt;30 days"</formula>
    </cfRule>
    <cfRule type="expression" dxfId="70" priority="83">
      <formula>AC14="B&lt;15 days"</formula>
    </cfRule>
    <cfRule type="expression" dxfId="69" priority="84">
      <formula>AC14="B&lt;10 days"</formula>
    </cfRule>
    <cfRule type="expression" dxfId="68" priority="85">
      <formula>AC14="Bounced"</formula>
    </cfRule>
  </conditionalFormatting>
  <conditionalFormatting sqref="AC18">
    <cfRule type="expression" dxfId="67" priority="76">
      <formula>AC18="B&gt;30 days"</formula>
    </cfRule>
    <cfRule type="expression" dxfId="66" priority="77">
      <formula>AC18="B&lt;30 days"</formula>
    </cfRule>
    <cfRule type="expression" dxfId="65" priority="78">
      <formula>AC18="B&lt;15 days"</formula>
    </cfRule>
    <cfRule type="expression" dxfId="64" priority="79">
      <formula>AC18="B&lt;10 days"</formula>
    </cfRule>
    <cfRule type="expression" dxfId="63" priority="80">
      <formula>AC18="Bounced"</formula>
    </cfRule>
  </conditionalFormatting>
  <conditionalFormatting sqref="AC16">
    <cfRule type="expression" dxfId="62" priority="71">
      <formula>AC16="B&gt;30 days"</formula>
    </cfRule>
    <cfRule type="expression" dxfId="61" priority="72">
      <formula>AC16="B&lt;30 days"</formula>
    </cfRule>
    <cfRule type="expression" dxfId="60" priority="73">
      <formula>AC16="B&lt;15 days"</formula>
    </cfRule>
    <cfRule type="expression" dxfId="59" priority="74">
      <formula>AC16="B&lt;10 days"</formula>
    </cfRule>
    <cfRule type="expression" dxfId="58" priority="75">
      <formula>AC16="Bounced"</formula>
    </cfRule>
  </conditionalFormatting>
  <conditionalFormatting sqref="Y22">
    <cfRule type="expression" dxfId="57" priority="61">
      <formula>Y22="B&gt;30 days"</formula>
    </cfRule>
    <cfRule type="expression" dxfId="56" priority="62">
      <formula>Y22="B&lt;30 days"</formula>
    </cfRule>
    <cfRule type="expression" dxfId="55" priority="63">
      <formula>Y22="B&lt;15 days"</formula>
    </cfRule>
    <cfRule type="expression" dxfId="54" priority="64">
      <formula>Y22="B&lt;10 days"</formula>
    </cfRule>
    <cfRule type="expression" dxfId="53" priority="65">
      <formula>Y22="Bounced"</formula>
    </cfRule>
  </conditionalFormatting>
  <conditionalFormatting sqref="W21:AB21">
    <cfRule type="expression" dxfId="52" priority="56">
      <formula>W21="B&gt;30 days"</formula>
    </cfRule>
    <cfRule type="expression" dxfId="51" priority="57">
      <formula>W21="B&lt;30 days"</formula>
    </cfRule>
    <cfRule type="expression" dxfId="50" priority="58">
      <formula>W21="B&lt;15 days"</formula>
    </cfRule>
    <cfRule type="expression" dxfId="49" priority="59">
      <formula>W21="B&lt;10 days"</formula>
    </cfRule>
    <cfRule type="expression" dxfId="48" priority="60">
      <formula>W21="Bounced"</formula>
    </cfRule>
  </conditionalFormatting>
  <conditionalFormatting sqref="AC21">
    <cfRule type="expression" dxfId="47" priority="51">
      <formula>AC21="B&gt;30 days"</formula>
    </cfRule>
    <cfRule type="expression" dxfId="46" priority="52">
      <formula>AC21="B&lt;30 days"</formula>
    </cfRule>
    <cfRule type="expression" dxfId="45" priority="53">
      <formula>AC21="B&lt;15 days"</formula>
    </cfRule>
    <cfRule type="expression" dxfId="44" priority="54">
      <formula>AC21="B&lt;10 days"</formula>
    </cfRule>
    <cfRule type="expression" dxfId="43" priority="55">
      <formula>AC21="Bounced"</formula>
    </cfRule>
  </conditionalFormatting>
  <conditionalFormatting sqref="V23:V26">
    <cfRule type="expression" dxfId="42" priority="36">
      <formula>V23="B&gt;30 days"</formula>
    </cfRule>
    <cfRule type="expression" dxfId="41" priority="37">
      <formula>V23="B&lt;30 days"</formula>
    </cfRule>
    <cfRule type="expression" dxfId="40" priority="38">
      <formula>V23="B&lt;15 days"</formula>
    </cfRule>
    <cfRule type="expression" dxfId="39" priority="39">
      <formula>V23="B&lt;10 days"</formula>
    </cfRule>
    <cfRule type="expression" dxfId="38" priority="40">
      <formula>V23="Bounced"</formula>
    </cfRule>
  </conditionalFormatting>
  <conditionalFormatting sqref="W23:AC26">
    <cfRule type="expression" dxfId="37" priority="31">
      <formula>W23="B&gt;30 days"</formula>
    </cfRule>
    <cfRule type="expression" dxfId="36" priority="32">
      <formula>W23="B&lt;30 days"</formula>
    </cfRule>
    <cfRule type="expression" dxfId="35" priority="33">
      <formula>W23="B&lt;15 days"</formula>
    </cfRule>
    <cfRule type="expression" dxfId="34" priority="34">
      <formula>W23="B&lt;10 days"</formula>
    </cfRule>
    <cfRule type="expression" dxfId="33" priority="35">
      <formula>W23="Bounced"</formula>
    </cfRule>
  </conditionalFormatting>
  <conditionalFormatting sqref="Z22:AC22">
    <cfRule type="expression" dxfId="32" priority="26">
      <formula>Z22="B&gt;30 days"</formula>
    </cfRule>
    <cfRule type="expression" dxfId="31" priority="27">
      <formula>Z22="B&lt;30 days"</formula>
    </cfRule>
    <cfRule type="expression" dxfId="30" priority="28">
      <formula>Z22="B&lt;15 days"</formula>
    </cfRule>
    <cfRule type="expression" dxfId="29" priority="29">
      <formula>Z22="B&lt;10 days"</formula>
    </cfRule>
    <cfRule type="expression" dxfId="28" priority="30">
      <formula>Z22="Bounced"</formula>
    </cfRule>
  </conditionalFormatting>
  <conditionalFormatting sqref="W17:AC17">
    <cfRule type="expression" dxfId="27" priority="21">
      <formula>W17="B&gt;30 days"</formula>
    </cfRule>
    <cfRule type="expression" dxfId="26" priority="22">
      <formula>W17="B&lt;30 days"</formula>
    </cfRule>
    <cfRule type="expression" dxfId="25" priority="23">
      <formula>W17="B&lt;15 days"</formula>
    </cfRule>
    <cfRule type="expression" dxfId="24" priority="24">
      <formula>W17="B&lt;10 days"</formula>
    </cfRule>
    <cfRule type="expression" dxfId="23" priority="25">
      <formula>W17="Bounced"</formula>
    </cfRule>
  </conditionalFormatting>
  <conditionalFormatting sqref="W17:AC17">
    <cfRule type="expression" dxfId="22" priority="16">
      <formula>W17="B&gt;30 days"</formula>
    </cfRule>
    <cfRule type="expression" dxfId="21" priority="17">
      <formula>W17="B&lt;30 days"</formula>
    </cfRule>
    <cfRule type="expression" dxfId="20" priority="18">
      <formula>W17="B&lt;15 days"</formula>
    </cfRule>
    <cfRule type="expression" dxfId="19" priority="19">
      <formula>W17="B&lt;10 days"</formula>
    </cfRule>
    <cfRule type="expression" dxfId="18" priority="20">
      <formula>W17="Bounced"</formula>
    </cfRule>
  </conditionalFormatting>
  <conditionalFormatting sqref="W8:AC8">
    <cfRule type="expression" dxfId="17" priority="11">
      <formula>W8="B&gt;30 days"</formula>
    </cfRule>
    <cfRule type="expression" dxfId="16" priority="12">
      <formula>W8="B&lt;30 days"</formula>
    </cfRule>
    <cfRule type="expression" dxfId="15" priority="13">
      <formula>W8="B&lt;15 days"</formula>
    </cfRule>
    <cfRule type="expression" dxfId="14" priority="14">
      <formula>W8="B&lt;10 days"</formula>
    </cfRule>
    <cfRule type="expression" dxfId="13" priority="15">
      <formula>W8="Bounced"</formula>
    </cfRule>
  </conditionalFormatting>
  <conditionalFormatting sqref="W19:AC19">
    <cfRule type="expression" dxfId="12" priority="6">
      <formula>W19="B&gt;30 days"</formula>
    </cfRule>
    <cfRule type="expression" dxfId="11" priority="7">
      <formula>W19="B&lt;30 days"</formula>
    </cfRule>
    <cfRule type="expression" dxfId="10" priority="8">
      <formula>W19="B&lt;15 days"</formula>
    </cfRule>
    <cfRule type="expression" dxfId="9" priority="9">
      <formula>W19="B&lt;10 days"</formula>
    </cfRule>
    <cfRule type="expression" dxfId="8" priority="10">
      <formula>W19="Bounced"</formula>
    </cfRule>
  </conditionalFormatting>
  <conditionalFormatting sqref="W19:AC19">
    <cfRule type="expression" dxfId="7" priority="1">
      <formula>W19="B&gt;30 days"</formula>
    </cfRule>
    <cfRule type="expression" dxfId="6" priority="2">
      <formula>W19="B&lt;30 days"</formula>
    </cfRule>
    <cfRule type="expression" dxfId="5" priority="3">
      <formula>W19="B&lt;15 days"</formula>
    </cfRule>
    <cfRule type="expression" dxfId="4" priority="4">
      <formula>W19="B&lt;10 days"</formula>
    </cfRule>
    <cfRule type="expression" dxfId="3" priority="5">
      <formula>W19="Bounced"</formula>
    </cfRule>
  </conditionalFormatting>
  <dataValidations count="9">
    <dataValidation allowBlank="1" showInputMessage="1" showErrorMessage="1" prompt="Input Only Month and Year" sqref="V7"/>
    <dataValidation type="list" allowBlank="1" showInputMessage="1" showErrorMessage="1" sqref="F3:F4 K2:K3">
      <formula1>"Yes, No"</formula1>
    </dataValidation>
    <dataValidation type="list" allowBlank="1" showInputMessage="1" showErrorMessage="1" sqref="E8:E31 F36 E34:E106">
      <formula1>"Secured,Unsecured"</formula1>
    </dataValidation>
    <dataValidation type="list" allowBlank="1" showInputMessage="1" showErrorMessage="1" sqref="F37:F106 F8:F35 J8:J106">
      <formula1>Loan_Status</formula1>
    </dataValidation>
    <dataValidation type="list" allowBlank="1" showInputMessage="1" showErrorMessage="1" sqref="E32:E33 D8:D106">
      <formula1>Type_of_Loan</formula1>
    </dataValidation>
    <dataValidation type="list" allowBlank="1" showInputMessage="1" showErrorMessage="1" sqref="K4">
      <formula1>"STD,SUB,DBT,LOSS,SMA,SMA0,SMA1,SMA2,NPA,60+"</formula1>
    </dataValidation>
    <dataValidation type="list" allowBlank="1" showInputMessage="1" showErrorMessage="1" sqref="C3">
      <formula1>"Suit filed,Write-off,Settled,Restructured,Standard"</formula1>
    </dataValidation>
    <dataValidation type="list" allowBlank="1" showInputMessage="1" showErrorMessage="1" sqref="U8:U106">
      <formula1>EMI_Date</formula1>
    </dataValidation>
    <dataValidation type="list" allowBlank="1" showInputMessage="1" showErrorMessage="1" sqref="V8:AG106">
      <formula1>Repayment</formula1>
    </dataValidation>
  </dataValidations>
  <pageMargins left="0.7" right="0.7" top="0.75" bottom="0.75" header="0.3" footer="0.3"/>
  <pageSetup orientation="portrait" r:id="rId1"/>
  <headerFooter>
    <oddFooter>&amp;C&amp;1#&amp;"Calibri"&amp;10&amp;K000000Clix Internal Circulation Only</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B8:B106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40"/>
  <sheetViews>
    <sheetView zoomScale="90" zoomScaleNormal="90" workbookViewId="0">
      <selection activeCell="C3" sqref="C3"/>
    </sheetView>
  </sheetViews>
  <sheetFormatPr defaultColWidth="0" defaultRowHeight="15" zeroHeight="1"/>
  <cols>
    <col min="1" max="2" width="9.140625" style="147" customWidth="1"/>
    <col min="3" max="3" width="25.140625" style="147" bestFit="1" customWidth="1"/>
    <col min="4" max="4" width="22.42578125" style="147" customWidth="1"/>
    <col min="5" max="5" width="27.5703125" style="147" bestFit="1" customWidth="1"/>
    <col min="6" max="6" width="13.140625" style="147" bestFit="1" customWidth="1"/>
    <col min="7" max="7" width="17.85546875" style="147" bestFit="1" customWidth="1"/>
    <col min="8" max="8" width="17.85546875" style="147" customWidth="1"/>
    <col min="9" max="9" width="7" style="147" bestFit="1" customWidth="1"/>
    <col min="10" max="10" width="19.140625" style="147" customWidth="1"/>
    <col min="11" max="11" width="10.42578125" style="147" bestFit="1" customWidth="1"/>
    <col min="12" max="12" width="20.140625" style="147" bestFit="1" customWidth="1"/>
    <col min="13" max="13" width="12" style="147" bestFit="1" customWidth="1"/>
    <col min="14" max="14" width="9" style="147" bestFit="1" customWidth="1"/>
    <col min="15" max="15" width="22.5703125" style="147" bestFit="1" customWidth="1"/>
    <col min="16" max="16" width="9.140625" style="147" customWidth="1"/>
    <col min="17" max="16384" width="9.140625" style="147" hidden="1"/>
  </cols>
  <sheetData>
    <row r="1" spans="1:15" s="77" customFormat="1" ht="21">
      <c r="A1" s="728" t="s">
        <v>1752</v>
      </c>
      <c r="B1" s="728"/>
      <c r="C1" s="728"/>
      <c r="D1" s="728"/>
      <c r="E1" s="728"/>
      <c r="F1" s="728"/>
      <c r="G1" s="728"/>
      <c r="H1" s="728"/>
      <c r="I1" s="728"/>
      <c r="J1" s="728"/>
      <c r="K1" s="728"/>
      <c r="L1" s="728"/>
      <c r="M1" s="728"/>
      <c r="N1" s="728"/>
      <c r="O1" s="728"/>
    </row>
    <row r="2" spans="1:15" ht="30">
      <c r="A2" s="81" t="s">
        <v>169</v>
      </c>
      <c r="B2" s="81" t="s">
        <v>1447</v>
      </c>
      <c r="C2" s="81" t="s">
        <v>1445</v>
      </c>
      <c r="D2" s="81" t="s">
        <v>1440</v>
      </c>
      <c r="E2" s="81" t="s">
        <v>206</v>
      </c>
      <c r="F2" s="81" t="s">
        <v>202</v>
      </c>
      <c r="G2" s="81" t="s">
        <v>203</v>
      </c>
      <c r="H2" s="230" t="s">
        <v>1670</v>
      </c>
      <c r="I2" s="81" t="s">
        <v>207</v>
      </c>
      <c r="J2" s="81" t="s">
        <v>1809</v>
      </c>
      <c r="K2" s="81" t="s">
        <v>208</v>
      </c>
      <c r="L2" s="81" t="s">
        <v>209</v>
      </c>
      <c r="M2" s="81" t="s">
        <v>204</v>
      </c>
      <c r="N2" s="81" t="s">
        <v>205</v>
      </c>
      <c r="O2" s="81" t="s">
        <v>301</v>
      </c>
    </row>
    <row r="3" spans="1:15">
      <c r="A3" s="164">
        <v>1</v>
      </c>
      <c r="B3" s="340" t="s">
        <v>1851</v>
      </c>
      <c r="C3" s="340" t="s">
        <v>1407</v>
      </c>
      <c r="D3" s="257" t="str">
        <f>IFERROR(VLOOKUP(C3,Workings!$I$2:$J$38,2,FALSE),"")</f>
        <v>Category A</v>
      </c>
      <c r="E3" s="130" t="s">
        <v>1852</v>
      </c>
      <c r="F3" s="394" t="s">
        <v>1853</v>
      </c>
      <c r="G3" s="394" t="s">
        <v>1853</v>
      </c>
      <c r="H3" s="232" t="s">
        <v>1824</v>
      </c>
      <c r="I3" s="341">
        <v>1</v>
      </c>
      <c r="J3" s="342">
        <v>11000000</v>
      </c>
      <c r="K3" s="343">
        <v>0</v>
      </c>
      <c r="L3" s="165">
        <f>J3*K3</f>
        <v>0</v>
      </c>
      <c r="M3" s="165">
        <f>J3-L3</f>
        <v>11000000</v>
      </c>
      <c r="N3" s="166">
        <f>IFERROR(M3/J3,0)</f>
        <v>1</v>
      </c>
      <c r="O3" s="155"/>
    </row>
    <row r="4" spans="1:15">
      <c r="A4" s="164">
        <v>2</v>
      </c>
      <c r="B4" s="340"/>
      <c r="C4" s="340"/>
      <c r="D4" s="257" t="str">
        <f>IFERROR(VLOOKUP(C4,Workings!$I$2:$J$38,2,FALSE),"")</f>
        <v/>
      </c>
      <c r="E4" s="130"/>
      <c r="F4" s="394"/>
      <c r="G4" s="394"/>
      <c r="H4" s="443"/>
      <c r="I4" s="341"/>
      <c r="J4" s="342"/>
      <c r="K4" s="343"/>
      <c r="L4" s="165">
        <f t="shared" ref="L4:L32" si="0">J4*K4</f>
        <v>0</v>
      </c>
      <c r="M4" s="165">
        <f t="shared" ref="M4:M32" si="1">J4-L4</f>
        <v>0</v>
      </c>
      <c r="N4" s="166">
        <f t="shared" ref="N4:N32" si="2">IFERROR(M4/J4,0)</f>
        <v>0</v>
      </c>
      <c r="O4" s="155"/>
    </row>
    <row r="5" spans="1:15">
      <c r="A5" s="164">
        <v>3</v>
      </c>
      <c r="B5" s="340"/>
      <c r="C5" s="340"/>
      <c r="D5" s="257" t="str">
        <f>IFERROR(VLOOKUP(C5,Workings!$I$2:$J$38,2,FALSE),"")</f>
        <v/>
      </c>
      <c r="E5" s="130"/>
      <c r="F5" s="394"/>
      <c r="G5" s="394"/>
      <c r="H5" s="443"/>
      <c r="I5" s="341"/>
      <c r="J5" s="342"/>
      <c r="K5" s="343"/>
      <c r="L5" s="165">
        <f t="shared" si="0"/>
        <v>0</v>
      </c>
      <c r="M5" s="165">
        <f t="shared" si="1"/>
        <v>0</v>
      </c>
      <c r="N5" s="166">
        <f t="shared" si="2"/>
        <v>0</v>
      </c>
      <c r="O5" s="155"/>
    </row>
    <row r="6" spans="1:15">
      <c r="A6" s="164">
        <v>4</v>
      </c>
      <c r="B6" s="340"/>
      <c r="C6" s="340"/>
      <c r="D6" s="257" t="str">
        <f>IFERROR(VLOOKUP(C6,Workings!$I$2:$J$38,2,FALSE),"")</f>
        <v/>
      </c>
      <c r="E6" s="130"/>
      <c r="F6" s="394"/>
      <c r="G6" s="394"/>
      <c r="H6" s="232"/>
      <c r="I6" s="341"/>
      <c r="J6" s="342"/>
      <c r="K6" s="343"/>
      <c r="L6" s="165">
        <f t="shared" si="0"/>
        <v>0</v>
      </c>
      <c r="M6" s="165">
        <f t="shared" si="1"/>
        <v>0</v>
      </c>
      <c r="N6" s="166">
        <f t="shared" si="2"/>
        <v>0</v>
      </c>
      <c r="O6" s="155"/>
    </row>
    <row r="7" spans="1:15">
      <c r="A7" s="164">
        <v>5</v>
      </c>
      <c r="B7" s="340"/>
      <c r="C7" s="340"/>
      <c r="D7" s="257" t="str">
        <f>IFERROR(VLOOKUP(C7,Workings!$I$2:$J$38,2,FALSE),"")</f>
        <v/>
      </c>
      <c r="E7" s="130"/>
      <c r="F7" s="394"/>
      <c r="G7" s="394"/>
      <c r="H7" s="232"/>
      <c r="I7" s="341"/>
      <c r="J7" s="342"/>
      <c r="K7" s="343"/>
      <c r="L7" s="165">
        <f t="shared" si="0"/>
        <v>0</v>
      </c>
      <c r="M7" s="165">
        <f t="shared" si="1"/>
        <v>0</v>
      </c>
      <c r="N7" s="166">
        <f t="shared" si="2"/>
        <v>0</v>
      </c>
      <c r="O7" s="155"/>
    </row>
    <row r="8" spans="1:15">
      <c r="A8" s="164">
        <v>6</v>
      </c>
      <c r="B8" s="340"/>
      <c r="C8" s="340"/>
      <c r="D8" s="257" t="str">
        <f>IFERROR(VLOOKUP(C8,Workings!$I$2:$J$38,2,FALSE),"")</f>
        <v/>
      </c>
      <c r="E8" s="130"/>
      <c r="F8" s="394"/>
      <c r="G8" s="394"/>
      <c r="H8" s="232"/>
      <c r="I8" s="341"/>
      <c r="J8" s="342"/>
      <c r="K8" s="343"/>
      <c r="L8" s="165">
        <f t="shared" si="0"/>
        <v>0</v>
      </c>
      <c r="M8" s="165">
        <f t="shared" si="1"/>
        <v>0</v>
      </c>
      <c r="N8" s="166">
        <f t="shared" si="2"/>
        <v>0</v>
      </c>
      <c r="O8" s="155"/>
    </row>
    <row r="9" spans="1:15">
      <c r="A9" s="164">
        <v>7</v>
      </c>
      <c r="B9" s="340"/>
      <c r="C9" s="340"/>
      <c r="D9" s="257" t="str">
        <f>IFERROR(VLOOKUP(C9,Workings!$I$2:$J$38,2,FALSE),"")</f>
        <v/>
      </c>
      <c r="E9" s="130"/>
      <c r="F9" s="394"/>
      <c r="G9" s="394"/>
      <c r="H9" s="232"/>
      <c r="I9" s="341"/>
      <c r="J9" s="342"/>
      <c r="K9" s="343"/>
      <c r="L9" s="165">
        <f t="shared" si="0"/>
        <v>0</v>
      </c>
      <c r="M9" s="165">
        <f t="shared" si="1"/>
        <v>0</v>
      </c>
      <c r="N9" s="166">
        <f t="shared" si="2"/>
        <v>0</v>
      </c>
      <c r="O9" s="155"/>
    </row>
    <row r="10" spans="1:15">
      <c r="A10" s="164">
        <v>8</v>
      </c>
      <c r="B10" s="340"/>
      <c r="C10" s="340"/>
      <c r="D10" s="257" t="str">
        <f>IFERROR(VLOOKUP(C10,Workings!$I$2:$J$38,2,FALSE),"")</f>
        <v/>
      </c>
      <c r="E10" s="130"/>
      <c r="F10" s="394"/>
      <c r="G10" s="394"/>
      <c r="H10" s="232"/>
      <c r="I10" s="341"/>
      <c r="J10" s="342"/>
      <c r="K10" s="343"/>
      <c r="L10" s="165">
        <f t="shared" si="0"/>
        <v>0</v>
      </c>
      <c r="M10" s="165">
        <f t="shared" si="1"/>
        <v>0</v>
      </c>
      <c r="N10" s="166">
        <f t="shared" si="2"/>
        <v>0</v>
      </c>
      <c r="O10" s="155"/>
    </row>
    <row r="11" spans="1:15">
      <c r="A11" s="164">
        <v>9</v>
      </c>
      <c r="B11" s="340"/>
      <c r="C11" s="340"/>
      <c r="D11" s="257" t="str">
        <f>IFERROR(VLOOKUP(C11,Workings!$I$2:$J$38,2,FALSE),"")</f>
        <v/>
      </c>
      <c r="E11" s="334"/>
      <c r="F11" s="334"/>
      <c r="G11" s="334"/>
      <c r="H11" s="232"/>
      <c r="I11" s="334"/>
      <c r="J11" s="344"/>
      <c r="K11" s="343"/>
      <c r="L11" s="165">
        <f t="shared" si="0"/>
        <v>0</v>
      </c>
      <c r="M11" s="165">
        <f t="shared" si="1"/>
        <v>0</v>
      </c>
      <c r="N11" s="166">
        <f t="shared" si="2"/>
        <v>0</v>
      </c>
      <c r="O11" s="155"/>
    </row>
    <row r="12" spans="1:15">
      <c r="A12" s="164">
        <v>10</v>
      </c>
      <c r="B12" s="149"/>
      <c r="C12" s="149"/>
      <c r="D12" s="257" t="str">
        <f>IFERROR(VLOOKUP(C12,Workings!$I$2:$J$38,2,FALSE),"")</f>
        <v/>
      </c>
      <c r="E12" s="150"/>
      <c r="F12" s="150"/>
      <c r="G12" s="150"/>
      <c r="H12" s="232"/>
      <c r="I12" s="151"/>
      <c r="J12" s="152"/>
      <c r="K12" s="153"/>
      <c r="L12" s="165">
        <f>J12*K12</f>
        <v>0</v>
      </c>
      <c r="M12" s="165">
        <f>J12-L12</f>
        <v>0</v>
      </c>
      <c r="N12" s="166">
        <f>IFERROR(M12/J12,0)</f>
        <v>0</v>
      </c>
      <c r="O12" s="156"/>
    </row>
    <row r="13" spans="1:15">
      <c r="A13" s="164">
        <v>11</v>
      </c>
      <c r="B13" s="149"/>
      <c r="C13" s="149"/>
      <c r="D13" s="257" t="str">
        <f>IFERROR(VLOOKUP(C13,Workings!$I$2:$J$38,2,FALSE),"")</f>
        <v/>
      </c>
      <c r="E13" s="150"/>
      <c r="F13" s="150"/>
      <c r="G13" s="150"/>
      <c r="H13" s="232"/>
      <c r="I13" s="151"/>
      <c r="J13" s="152"/>
      <c r="K13" s="153"/>
      <c r="L13" s="165">
        <f t="shared" si="0"/>
        <v>0</v>
      </c>
      <c r="M13" s="165">
        <f t="shared" si="1"/>
        <v>0</v>
      </c>
      <c r="N13" s="166">
        <f t="shared" si="2"/>
        <v>0</v>
      </c>
      <c r="O13" s="156"/>
    </row>
    <row r="14" spans="1:15">
      <c r="A14" s="164">
        <v>12</v>
      </c>
      <c r="B14" s="149"/>
      <c r="C14" s="149"/>
      <c r="D14" s="257" t="str">
        <f>IFERROR(VLOOKUP(C14,Workings!$I$2:$J$38,2,FALSE),"")</f>
        <v/>
      </c>
      <c r="E14" s="150"/>
      <c r="F14" s="150"/>
      <c r="G14" s="150"/>
      <c r="H14" s="232"/>
      <c r="I14" s="151"/>
      <c r="J14" s="152"/>
      <c r="K14" s="153"/>
      <c r="L14" s="165">
        <f t="shared" si="0"/>
        <v>0</v>
      </c>
      <c r="M14" s="165">
        <f t="shared" si="1"/>
        <v>0</v>
      </c>
      <c r="N14" s="166">
        <f t="shared" si="2"/>
        <v>0</v>
      </c>
      <c r="O14" s="156"/>
    </row>
    <row r="15" spans="1:15">
      <c r="A15" s="164">
        <v>13</v>
      </c>
      <c r="B15" s="149"/>
      <c r="C15" s="149"/>
      <c r="D15" s="257" t="str">
        <f>IFERROR(VLOOKUP(C15,Workings!$I$2:$J$38,2,FALSE),"")</f>
        <v/>
      </c>
      <c r="E15" s="150"/>
      <c r="F15" s="150"/>
      <c r="G15" s="150"/>
      <c r="H15" s="232"/>
      <c r="I15" s="151"/>
      <c r="J15" s="152"/>
      <c r="K15" s="153"/>
      <c r="L15" s="165">
        <f t="shared" si="0"/>
        <v>0</v>
      </c>
      <c r="M15" s="165">
        <f t="shared" si="1"/>
        <v>0</v>
      </c>
      <c r="N15" s="166">
        <f t="shared" si="2"/>
        <v>0</v>
      </c>
      <c r="O15" s="156"/>
    </row>
    <row r="16" spans="1:15">
      <c r="A16" s="164">
        <v>14</v>
      </c>
      <c r="B16" s="149"/>
      <c r="C16" s="149"/>
      <c r="D16" s="257" t="str">
        <f>IFERROR(VLOOKUP(C16,Workings!$I$2:$J$38,2,FALSE),"")</f>
        <v/>
      </c>
      <c r="E16" s="150"/>
      <c r="F16" s="159"/>
      <c r="G16" s="159"/>
      <c r="H16" s="232"/>
      <c r="I16" s="151"/>
      <c r="J16" s="152"/>
      <c r="K16" s="153"/>
      <c r="L16" s="165">
        <f t="shared" si="0"/>
        <v>0</v>
      </c>
      <c r="M16" s="165">
        <f t="shared" si="1"/>
        <v>0</v>
      </c>
      <c r="N16" s="166">
        <f t="shared" si="2"/>
        <v>0</v>
      </c>
      <c r="O16" s="160"/>
    </row>
    <row r="17" spans="1:15">
      <c r="A17" s="164">
        <v>15</v>
      </c>
      <c r="B17" s="149"/>
      <c r="C17" s="149"/>
      <c r="D17" s="257" t="str">
        <f>IFERROR(VLOOKUP(C17,Workings!$I$2:$J$38,2,FALSE),"")</f>
        <v/>
      </c>
      <c r="E17" s="161"/>
      <c r="F17" s="161"/>
      <c r="G17" s="161"/>
      <c r="H17" s="232"/>
      <c r="I17" s="162"/>
      <c r="J17" s="162"/>
      <c r="K17" s="163"/>
      <c r="L17" s="165">
        <f t="shared" si="0"/>
        <v>0</v>
      </c>
      <c r="M17" s="165">
        <f t="shared" si="1"/>
        <v>0</v>
      </c>
      <c r="N17" s="166">
        <f t="shared" si="2"/>
        <v>0</v>
      </c>
      <c r="O17" s="162"/>
    </row>
    <row r="18" spans="1:15">
      <c r="A18" s="164">
        <v>16</v>
      </c>
      <c r="B18" s="149"/>
      <c r="C18" s="149"/>
      <c r="D18" s="257" t="str">
        <f>IFERROR(VLOOKUP(C18,Workings!$I$2:$J$38,2,FALSE),"")</f>
        <v/>
      </c>
      <c r="E18" s="157"/>
      <c r="F18" s="157"/>
      <c r="G18" s="157"/>
      <c r="H18" s="232"/>
      <c r="I18" s="148"/>
      <c r="J18" s="157"/>
      <c r="K18" s="158"/>
      <c r="L18" s="165">
        <f t="shared" si="0"/>
        <v>0</v>
      </c>
      <c r="M18" s="165">
        <f t="shared" si="1"/>
        <v>0</v>
      </c>
      <c r="N18" s="166">
        <f t="shared" si="2"/>
        <v>0</v>
      </c>
      <c r="O18" s="157"/>
    </row>
    <row r="19" spans="1:15">
      <c r="A19" s="164">
        <v>17</v>
      </c>
      <c r="B19" s="149"/>
      <c r="C19" s="149"/>
      <c r="D19" s="257" t="str">
        <f>IFERROR(VLOOKUP(C19,Workings!$I$2:$J$38,2,FALSE),"")</f>
        <v/>
      </c>
      <c r="E19" s="157"/>
      <c r="F19" s="157"/>
      <c r="G19" s="157"/>
      <c r="H19" s="232"/>
      <c r="I19" s="148"/>
      <c r="J19" s="157"/>
      <c r="K19" s="158"/>
      <c r="L19" s="165">
        <f t="shared" si="0"/>
        <v>0</v>
      </c>
      <c r="M19" s="165">
        <f t="shared" si="1"/>
        <v>0</v>
      </c>
      <c r="N19" s="166">
        <f t="shared" si="2"/>
        <v>0</v>
      </c>
      <c r="O19" s="157"/>
    </row>
    <row r="20" spans="1:15">
      <c r="A20" s="164">
        <v>18</v>
      </c>
      <c r="B20" s="149"/>
      <c r="C20" s="149"/>
      <c r="D20" s="257" t="str">
        <f>IFERROR(VLOOKUP(C20,Workings!$I$2:$J$38,2,FALSE),"")</f>
        <v/>
      </c>
      <c r="E20" s="235"/>
      <c r="F20" s="235"/>
      <c r="G20" s="235"/>
      <c r="H20" s="232"/>
      <c r="I20" s="148"/>
      <c r="J20" s="157"/>
      <c r="K20" s="158"/>
      <c r="L20" s="165">
        <f t="shared" si="0"/>
        <v>0</v>
      </c>
      <c r="M20" s="165">
        <f t="shared" si="1"/>
        <v>0</v>
      </c>
      <c r="N20" s="166">
        <f t="shared" si="2"/>
        <v>0</v>
      </c>
      <c r="O20" s="157"/>
    </row>
    <row r="21" spans="1:15">
      <c r="A21" s="164">
        <v>19</v>
      </c>
      <c r="B21" s="149"/>
      <c r="C21" s="149"/>
      <c r="D21" s="257" t="str">
        <f>IFERROR(VLOOKUP(C21,Workings!$I$2:$J$38,2,FALSE),"")</f>
        <v/>
      </c>
      <c r="E21" s="157"/>
      <c r="F21" s="157"/>
      <c r="G21" s="157"/>
      <c r="H21" s="232"/>
      <c r="I21" s="148"/>
      <c r="J21" s="157"/>
      <c r="K21" s="158"/>
      <c r="L21" s="165">
        <f t="shared" si="0"/>
        <v>0</v>
      </c>
      <c r="M21" s="165">
        <f t="shared" si="1"/>
        <v>0</v>
      </c>
      <c r="N21" s="166">
        <f t="shared" si="2"/>
        <v>0</v>
      </c>
      <c r="O21" s="157"/>
    </row>
    <row r="22" spans="1:15">
      <c r="A22" s="164">
        <v>20</v>
      </c>
      <c r="B22" s="149"/>
      <c r="C22" s="149"/>
      <c r="D22" s="257" t="str">
        <f>IFERROR(VLOOKUP(C22,Workings!$I$2:$J$38,2,FALSE),"")</f>
        <v/>
      </c>
      <c r="E22" s="157"/>
      <c r="F22" s="157"/>
      <c r="G22" s="157"/>
      <c r="H22" s="232"/>
      <c r="I22" s="148"/>
      <c r="J22" s="157"/>
      <c r="K22" s="158"/>
      <c r="L22" s="165">
        <f t="shared" si="0"/>
        <v>0</v>
      </c>
      <c r="M22" s="165">
        <f t="shared" si="1"/>
        <v>0</v>
      </c>
      <c r="N22" s="166">
        <f t="shared" si="2"/>
        <v>0</v>
      </c>
      <c r="O22" s="157"/>
    </row>
    <row r="23" spans="1:15">
      <c r="A23" s="200">
        <v>21</v>
      </c>
      <c r="B23" s="149"/>
      <c r="C23" s="149"/>
      <c r="D23" s="257" t="str">
        <f>IFERROR(VLOOKUP(C23,Workings!$I$2:$J$38,2,FALSE),"")</f>
        <v/>
      </c>
      <c r="E23" s="157"/>
      <c r="F23" s="157"/>
      <c r="G23" s="157"/>
      <c r="H23" s="232"/>
      <c r="I23" s="148"/>
      <c r="J23" s="157"/>
      <c r="K23" s="158"/>
      <c r="L23" s="154">
        <f t="shared" si="0"/>
        <v>0</v>
      </c>
      <c r="M23" s="154">
        <f t="shared" si="1"/>
        <v>0</v>
      </c>
      <c r="N23" s="166">
        <f t="shared" si="2"/>
        <v>0</v>
      </c>
      <c r="O23" s="157"/>
    </row>
    <row r="24" spans="1:15">
      <c r="A24" s="200">
        <v>22</v>
      </c>
      <c r="B24" s="149"/>
      <c r="C24" s="149"/>
      <c r="D24" s="257" t="str">
        <f>IFERROR(VLOOKUP(C24,Workings!$I$2:$J$38,2,FALSE),"")</f>
        <v/>
      </c>
      <c r="E24" s="157"/>
      <c r="F24" s="157"/>
      <c r="G24" s="157"/>
      <c r="H24" s="232"/>
      <c r="I24" s="148"/>
      <c r="J24" s="157"/>
      <c r="K24" s="158"/>
      <c r="L24" s="154">
        <f t="shared" si="0"/>
        <v>0</v>
      </c>
      <c r="M24" s="154">
        <f t="shared" si="1"/>
        <v>0</v>
      </c>
      <c r="N24" s="166">
        <f t="shared" si="2"/>
        <v>0</v>
      </c>
      <c r="O24" s="157"/>
    </row>
    <row r="25" spans="1:15">
      <c r="A25" s="200">
        <v>23</v>
      </c>
      <c r="B25" s="149"/>
      <c r="C25" s="149"/>
      <c r="D25" s="257" t="str">
        <f>IFERROR(VLOOKUP(C25,Workings!$I$2:$J$38,2,FALSE),"")</f>
        <v/>
      </c>
      <c r="E25" s="157"/>
      <c r="F25" s="157"/>
      <c r="G25" s="157"/>
      <c r="H25" s="232"/>
      <c r="I25" s="148"/>
      <c r="J25" s="157"/>
      <c r="K25" s="158"/>
      <c r="L25" s="154">
        <f t="shared" si="0"/>
        <v>0</v>
      </c>
      <c r="M25" s="154">
        <f t="shared" si="1"/>
        <v>0</v>
      </c>
      <c r="N25" s="166">
        <f t="shared" si="2"/>
        <v>0</v>
      </c>
      <c r="O25" s="157"/>
    </row>
    <row r="26" spans="1:15">
      <c r="A26" s="200">
        <v>24</v>
      </c>
      <c r="B26" s="149"/>
      <c r="C26" s="149"/>
      <c r="D26" s="257" t="str">
        <f>IFERROR(VLOOKUP(C26,Workings!$I$2:$J$38,2,FALSE),"")</f>
        <v/>
      </c>
      <c r="E26" s="157"/>
      <c r="F26" s="157"/>
      <c r="G26" s="157"/>
      <c r="H26" s="232"/>
      <c r="I26" s="148"/>
      <c r="J26" s="157"/>
      <c r="K26" s="158"/>
      <c r="L26" s="154">
        <f t="shared" si="0"/>
        <v>0</v>
      </c>
      <c r="M26" s="154">
        <f t="shared" si="1"/>
        <v>0</v>
      </c>
      <c r="N26" s="166">
        <f t="shared" si="2"/>
        <v>0</v>
      </c>
      <c r="O26" s="157"/>
    </row>
    <row r="27" spans="1:15">
      <c r="A27" s="200">
        <v>25</v>
      </c>
      <c r="B27" s="149"/>
      <c r="C27" s="149"/>
      <c r="D27" s="257" t="str">
        <f>IFERROR(VLOOKUP(C27,Workings!$I$2:$J$38,2,FALSE),"")</f>
        <v/>
      </c>
      <c r="E27" s="157"/>
      <c r="F27" s="157"/>
      <c r="G27" s="157"/>
      <c r="H27" s="232"/>
      <c r="I27" s="148"/>
      <c r="J27" s="157"/>
      <c r="K27" s="158"/>
      <c r="L27" s="154">
        <f t="shared" si="0"/>
        <v>0</v>
      </c>
      <c r="M27" s="154">
        <f t="shared" si="1"/>
        <v>0</v>
      </c>
      <c r="N27" s="166">
        <f t="shared" si="2"/>
        <v>0</v>
      </c>
      <c r="O27" s="157"/>
    </row>
    <row r="28" spans="1:15">
      <c r="A28" s="200">
        <v>26</v>
      </c>
      <c r="B28" s="149"/>
      <c r="C28" s="149"/>
      <c r="D28" s="257" t="str">
        <f>IFERROR(VLOOKUP(C28,Workings!$I$2:$J$38,2,FALSE),"")</f>
        <v/>
      </c>
      <c r="E28" s="157"/>
      <c r="F28" s="157"/>
      <c r="G28" s="157"/>
      <c r="H28" s="232"/>
      <c r="I28" s="148"/>
      <c r="J28" s="157"/>
      <c r="K28" s="158"/>
      <c r="L28" s="154">
        <f t="shared" si="0"/>
        <v>0</v>
      </c>
      <c r="M28" s="154">
        <f t="shared" si="1"/>
        <v>0</v>
      </c>
      <c r="N28" s="166">
        <f t="shared" si="2"/>
        <v>0</v>
      </c>
      <c r="O28" s="157"/>
    </row>
    <row r="29" spans="1:15">
      <c r="A29" s="200">
        <v>27</v>
      </c>
      <c r="B29" s="149"/>
      <c r="C29" s="149"/>
      <c r="D29" s="257" t="str">
        <f>IFERROR(VLOOKUP(C29,Workings!$I$2:$J$38,2,FALSE),"")</f>
        <v/>
      </c>
      <c r="E29" s="157"/>
      <c r="F29" s="157"/>
      <c r="G29" s="157"/>
      <c r="H29" s="232"/>
      <c r="I29" s="148"/>
      <c r="J29" s="157"/>
      <c r="K29" s="158"/>
      <c r="L29" s="154">
        <f t="shared" si="0"/>
        <v>0</v>
      </c>
      <c r="M29" s="154">
        <f t="shared" si="1"/>
        <v>0</v>
      </c>
      <c r="N29" s="166">
        <f t="shared" si="2"/>
        <v>0</v>
      </c>
      <c r="O29" s="157"/>
    </row>
    <row r="30" spans="1:15">
      <c r="A30" s="200">
        <v>28</v>
      </c>
      <c r="B30" s="149"/>
      <c r="C30" s="149"/>
      <c r="D30" s="257" t="str">
        <f>IFERROR(VLOOKUP(C30,Workings!$I$2:$J$38,2,FALSE),"")</f>
        <v/>
      </c>
      <c r="E30" s="157"/>
      <c r="F30" s="157"/>
      <c r="G30" s="157"/>
      <c r="H30" s="232"/>
      <c r="I30" s="148"/>
      <c r="J30" s="157"/>
      <c r="K30" s="158"/>
      <c r="L30" s="154">
        <f t="shared" si="0"/>
        <v>0</v>
      </c>
      <c r="M30" s="154">
        <f t="shared" si="1"/>
        <v>0</v>
      </c>
      <c r="N30" s="166">
        <f t="shared" si="2"/>
        <v>0</v>
      </c>
      <c r="O30" s="157"/>
    </row>
    <row r="31" spans="1:15">
      <c r="A31" s="200">
        <v>29</v>
      </c>
      <c r="B31" s="149"/>
      <c r="C31" s="149"/>
      <c r="D31" s="257" t="str">
        <f>IFERROR(VLOOKUP(C31,Workings!$I$2:$J$38,2,FALSE),"")</f>
        <v/>
      </c>
      <c r="E31" s="157"/>
      <c r="F31" s="157"/>
      <c r="G31" s="157"/>
      <c r="H31" s="232"/>
      <c r="I31" s="148"/>
      <c r="J31" s="157"/>
      <c r="K31" s="158"/>
      <c r="L31" s="154">
        <f t="shared" si="0"/>
        <v>0</v>
      </c>
      <c r="M31" s="154">
        <f t="shared" si="1"/>
        <v>0</v>
      </c>
      <c r="N31" s="166">
        <f t="shared" si="2"/>
        <v>0</v>
      </c>
      <c r="O31" s="157"/>
    </row>
    <row r="32" spans="1:15">
      <c r="A32" s="200">
        <v>30</v>
      </c>
      <c r="B32" s="149"/>
      <c r="C32" s="149"/>
      <c r="D32" s="257" t="str">
        <f>IFERROR(VLOOKUP(C32,Workings!$I$2:$J$38,2,FALSE),"")</f>
        <v/>
      </c>
      <c r="E32" s="157"/>
      <c r="F32" s="157"/>
      <c r="G32" s="157"/>
      <c r="H32" s="232"/>
      <c r="I32" s="148"/>
      <c r="J32" s="157"/>
      <c r="K32" s="158"/>
      <c r="L32" s="154">
        <f t="shared" si="0"/>
        <v>0</v>
      </c>
      <c r="M32" s="154">
        <f t="shared" si="1"/>
        <v>0</v>
      </c>
      <c r="N32" s="166">
        <f t="shared" si="2"/>
        <v>0</v>
      </c>
      <c r="O32" s="157"/>
    </row>
    <row r="33" spans="1:15" s="172" customFormat="1">
      <c r="A33" s="167"/>
      <c r="B33" s="731" t="s">
        <v>153</v>
      </c>
      <c r="C33" s="732"/>
      <c r="D33" s="168" t="str">
        <f>C39</f>
        <v>Category A</v>
      </c>
      <c r="E33" s="167"/>
      <c r="F33" s="167"/>
      <c r="G33" s="167"/>
      <c r="H33" s="231"/>
      <c r="I33" s="164">
        <f>SUM(I3:I32)</f>
        <v>1</v>
      </c>
      <c r="J33" s="164">
        <f>SUM(J3:J32)</f>
        <v>11000000</v>
      </c>
      <c r="K33" s="169">
        <f>IFERROR(L33/J33,0)</f>
        <v>0</v>
      </c>
      <c r="L33" s="164">
        <f>SUM(L3:L32)</f>
        <v>0</v>
      </c>
      <c r="M33" s="164">
        <f>SUM(M3:M32)</f>
        <v>11000000</v>
      </c>
      <c r="N33" s="170">
        <f>IFERROR(M33/J33,0)</f>
        <v>1</v>
      </c>
      <c r="O33" s="171"/>
    </row>
    <row r="34" spans="1:15"/>
    <row r="35" spans="1:15" ht="15" customHeight="1">
      <c r="B35" s="733" t="s">
        <v>1449</v>
      </c>
      <c r="C35" s="81" t="s">
        <v>1441</v>
      </c>
      <c r="D35" s="81" t="s">
        <v>1451</v>
      </c>
      <c r="E35" s="81" t="s">
        <v>1448</v>
      </c>
      <c r="F35" s="81" t="s">
        <v>1452</v>
      </c>
      <c r="G35" s="81" t="s">
        <v>1453</v>
      </c>
      <c r="H35" s="233"/>
    </row>
    <row r="36" spans="1:15">
      <c r="B36" s="734"/>
      <c r="C36" s="173" t="s">
        <v>560</v>
      </c>
      <c r="D36" s="164">
        <f>COUNTIF($D$3:$D$32,C36)</f>
        <v>1</v>
      </c>
      <c r="E36" s="164">
        <f>SUMIF($D$3:$D$32,C36,$J$3:$J$32)</f>
        <v>11000000</v>
      </c>
      <c r="F36" s="174">
        <f>SUMIF($D$3:$D$32,C36,$L$3:$L$32)</f>
        <v>0</v>
      </c>
      <c r="G36" s="175">
        <f>SUMIF($D$3:$D$32,C36,$M$3:$M$32)</f>
        <v>11000000</v>
      </c>
      <c r="H36" s="234"/>
    </row>
    <row r="37" spans="1:15">
      <c r="B37" s="734"/>
      <c r="C37" s="173" t="s">
        <v>1443</v>
      </c>
      <c r="D37" s="164">
        <f t="shared" ref="D37:D38" si="3">COUNTIF($D$3:$D$32,C37)</f>
        <v>0</v>
      </c>
      <c r="E37" s="164">
        <f>SUMIF($D$3:$D$32,C37,$J$3:$J$32)</f>
        <v>0</v>
      </c>
      <c r="F37" s="174">
        <f t="shared" ref="F37:F38" si="4">SUMIF($D$3:$D$32,C37,$L$3:$L$32)</f>
        <v>0</v>
      </c>
      <c r="G37" s="175">
        <f t="shared" ref="G37:G38" si="5">SUMIF($D$3:$D$32,C37,$M$3:$M$32)</f>
        <v>0</v>
      </c>
      <c r="H37" s="234"/>
    </row>
    <row r="38" spans="1:15">
      <c r="B38" s="735"/>
      <c r="C38" s="173" t="s">
        <v>1444</v>
      </c>
      <c r="D38" s="164">
        <f t="shared" si="3"/>
        <v>0</v>
      </c>
      <c r="E38" s="164">
        <f>SUMIF($D$3:$D$32,C38,$J$3:$J$32)</f>
        <v>0</v>
      </c>
      <c r="F38" s="174">
        <f t="shared" si="4"/>
        <v>0</v>
      </c>
      <c r="G38" s="175">
        <f t="shared" si="5"/>
        <v>0</v>
      </c>
      <c r="H38" s="234"/>
    </row>
    <row r="39" spans="1:15">
      <c r="B39" s="122" t="s">
        <v>1450</v>
      </c>
      <c r="C39" s="168" t="str">
        <f>IF(AND(G36&gt;G37,G36&gt;G38),"Category A",IF(G37&gt;G38,"Category B","Category C"))</f>
        <v>Category A</v>
      </c>
      <c r="D39" s="164">
        <f>SUM(D36:D38)</f>
        <v>1</v>
      </c>
      <c r="E39" s="164">
        <f>SUM(E36:E38)</f>
        <v>11000000</v>
      </c>
      <c r="F39" s="175">
        <f>SUM(F36:F38)</f>
        <v>0</v>
      </c>
      <c r="G39" s="175">
        <f>SUM(G36:G38)</f>
        <v>11000000</v>
      </c>
      <c r="H39" s="234"/>
    </row>
    <row r="40" spans="1:15"/>
  </sheetData>
  <sheetProtection algorithmName="SHA-512" hashValue="X8+wCq4/xecQVfUTCPIGig9UvJeJ5xwzFhzdqWQl+0HmY4i2pdQM4JWs6V/6FNfRByyqd10txBJrUfGksMEGow==" saltValue="XtcHv1ZMTwq5fumglmCkzg==" spinCount="100000" sheet="1" objects="1" scenarios="1"/>
  <mergeCells count="3">
    <mergeCell ref="B33:C33"/>
    <mergeCell ref="B35:B38"/>
    <mergeCell ref="A1:O1"/>
  </mergeCells>
  <dataValidations count="2">
    <dataValidation type="list" allowBlank="1" showInputMessage="1" showErrorMessage="1" sqref="B3:B32">
      <formula1>"GE, Non-GE, Mixed"</formula1>
    </dataValidation>
    <dataValidation type="list" allowBlank="1" showInputMessage="1" showErrorMessage="1" sqref="H3:H32">
      <formula1>"New,Used,Refurbished"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Workings!$I$2:$I$39</xm:f>
          </x14:formula1>
          <xm:sqref>C3:C32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CAM</vt:lpstr>
      <vt:lpstr>Eligibility</vt:lpstr>
      <vt:lpstr>Fin-1</vt:lpstr>
      <vt:lpstr>Fin-2</vt:lpstr>
      <vt:lpstr>Fin-3</vt:lpstr>
      <vt:lpstr>Fin-Clubbed</vt:lpstr>
      <vt:lpstr>Banking</vt:lpstr>
      <vt:lpstr>Existing Loans</vt:lpstr>
      <vt:lpstr>List of Equipments</vt:lpstr>
      <vt:lpstr>Forward Looking DSCR</vt:lpstr>
      <vt:lpstr>Workings</vt:lpstr>
      <vt:lpstr>Scorecard</vt:lpstr>
      <vt:lpstr>CAP</vt:lpstr>
      <vt:lpstr>CIP</vt:lpstr>
      <vt:lpstr>Deviations</vt:lpstr>
      <vt:lpstr>Rough Sheet-1</vt:lpstr>
      <vt:lpstr>Rough Sheet-2</vt:lpstr>
      <vt:lpstr>List of Districts</vt:lpstr>
      <vt:lpstr>Age_of_Borrower</vt:lpstr>
      <vt:lpstr>Bureau_Norms</vt:lpstr>
      <vt:lpstr>Constitution_Designation</vt:lpstr>
      <vt:lpstr>EMI_Date</vt:lpstr>
      <vt:lpstr>Equipment_Manufacturer_not_listed</vt:lpstr>
      <vt:lpstr>Financial_Norms_and_Banking_Criteria</vt:lpstr>
      <vt:lpstr>Inward_Cheque_Returns</vt:lpstr>
      <vt:lpstr>Loan_Status</vt:lpstr>
      <vt:lpstr>LTV_Deviation</vt:lpstr>
      <vt:lpstr>Moratorium</vt:lpstr>
      <vt:lpstr>Other_Deviation</vt:lpstr>
      <vt:lpstr>Promoter_Experience</vt:lpstr>
      <vt:lpstr>Repayment</vt:lpstr>
      <vt:lpstr>SIC_Industry</vt:lpstr>
      <vt:lpstr>Type_of_Loan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Classification=CL1X_INT3RNAL</cp:keywords>
  <cp:lastModifiedBy/>
  <dcterms:created xsi:type="dcterms:W3CDTF">2015-06-05T18:17:20Z</dcterms:created>
  <dcterms:modified xsi:type="dcterms:W3CDTF">2022-04-21T07:00:29Z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98527d6b-be99-4eab-9521-3a6fa1cdda30</vt:lpwstr>
  </property>
  <property fmtid="{D5CDD505-2E9C-101B-9397-08002B2CF9AE}" pid="3" name="Classification">
    <vt:lpwstr>CL1X_INT3RNAL</vt:lpwstr>
  </property>
  <property fmtid="{D5CDD505-2E9C-101B-9397-08002B2CF9AE}" pid="4" name="VisualMarkings">
    <vt:lpwstr>No</vt:lpwstr>
  </property>
  <property fmtid="{D5CDD505-2E9C-101B-9397-08002B2CF9AE}" pid="5" name="MSIP_Label_1251bcad-b2f4-49ce-a009-af9acc307d5a_Enabled">
    <vt:lpwstr>true</vt:lpwstr>
  </property>
  <property fmtid="{D5CDD505-2E9C-101B-9397-08002B2CF9AE}" pid="6" name="MSIP_Label_1251bcad-b2f4-49ce-a009-af9acc307d5a_SetDate">
    <vt:lpwstr>2022-04-21T07:00:13Z</vt:lpwstr>
  </property>
  <property fmtid="{D5CDD505-2E9C-101B-9397-08002B2CF9AE}" pid="7" name="MSIP_Label_1251bcad-b2f4-49ce-a009-af9acc307d5a_Method">
    <vt:lpwstr>Privileged</vt:lpwstr>
  </property>
  <property fmtid="{D5CDD505-2E9C-101B-9397-08002B2CF9AE}" pid="8" name="MSIP_Label_1251bcad-b2f4-49ce-a009-af9acc307d5a_Name">
    <vt:lpwstr>CLIX_INT3RNAL</vt:lpwstr>
  </property>
  <property fmtid="{D5CDD505-2E9C-101B-9397-08002B2CF9AE}" pid="9" name="MSIP_Label_1251bcad-b2f4-49ce-a009-af9acc307d5a_SiteId">
    <vt:lpwstr>f5414736-f600-4e44-a822-d5ee52d92a70</vt:lpwstr>
  </property>
  <property fmtid="{D5CDD505-2E9C-101B-9397-08002B2CF9AE}" pid="10" name="MSIP_Label_1251bcad-b2f4-49ce-a009-af9acc307d5a_ActionId">
    <vt:lpwstr>d83eab20-637f-40e9-9ade-39e9409c13ec</vt:lpwstr>
  </property>
  <property fmtid="{D5CDD505-2E9C-101B-9397-08002B2CF9AE}" pid="11" name="MSIP_Label_1251bcad-b2f4-49ce-a009-af9acc307d5a_ContentBits">
    <vt:lpwstr>2</vt:lpwstr>
  </property>
</Properties>
</file>