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<sst xmlns="http://schemas.openxmlformats.org/spreadsheetml/2006/main" count="129" uniqueCount="65">
  <si>
    <t>Note: out of 5 because
 3 people not done, and excluding oneself</t>
  </si>
  <si>
    <t>score out of (people):</t>
  </si>
  <si>
    <t>Meetings</t>
  </si>
  <si>
    <t>Ayub</t>
  </si>
  <si>
    <t>Total</t>
  </si>
  <si>
    <t>Dineth</t>
  </si>
  <si>
    <t>Jimmy</t>
  </si>
  <si>
    <t>Keagan</t>
  </si>
  <si>
    <t>Kosala</t>
  </si>
  <si>
    <t>Krishna</t>
  </si>
  <si>
    <t>Lyndon</t>
  </si>
  <si>
    <t>Migara</t>
  </si>
  <si>
    <t>Shenal</t>
  </si>
  <si>
    <t>I arrive on time
for meetings</t>
  </si>
  <si>
    <t>I showed a cooperative
 attitude during meetings</t>
  </si>
  <si>
    <t>I was prepared for meetings</t>
  </si>
  <si>
    <t>I made meaningful
 contributions at meetings</t>
  </si>
  <si>
    <t>I did not waste time
 with irrelevant conversation</t>
  </si>
  <si>
    <t>I was attentive at meetings</t>
  </si>
  <si>
    <t>I listened to others at meetings</t>
  </si>
  <si>
    <t>I brought my individual
 work to the meetings</t>
  </si>
  <si>
    <t>I gave suggestions about
 other people’s work at the meetings</t>
  </si>
  <si>
    <t>Total Score (out of 36)</t>
  </si>
  <si>
    <t>Work Habits</t>
  </si>
  <si>
    <t>I used time effectively</t>
  </si>
  <si>
    <t>I cooperate with team members</t>
  </si>
  <si>
    <t>I was willing to share information 
with team members</t>
  </si>
  <si>
    <t>I spent time working with other
 team members on their tasks</t>
  </si>
  <si>
    <t>I was willing to train team members</t>
  </si>
  <si>
    <t>I showed initiative by doing library
 or internet research</t>
  </si>
  <si>
    <t>I undertook tasks that required 
significant research</t>
  </si>
  <si>
    <t>I was able to complete individual
 subtasks with little or no assistance</t>
  </si>
  <si>
    <t>My individual subtasks were
fully completed</t>
  </si>
  <si>
    <t>My individual subtasks were
completed on time</t>
  </si>
  <si>
    <t>My individual subtasks were
of a high quality</t>
  </si>
  <si>
    <t>I reviewed design documents</t>
  </si>
  <si>
    <t>I reviewed drafts of the manual</t>
  </si>
  <si>
    <t>I tested software developed by 
other team members</t>
  </si>
  <si>
    <t>I carried out duties of his/her
management role</t>
  </si>
  <si>
    <t>Total Score (out of 60)</t>
  </si>
  <si>
    <t>Score from (out of 10) =&gt;</t>
  </si>
  <si>
    <t>Ayub 
Khan</t>
  </si>
  <si>
    <t>Dineth 
Gunawardena</t>
  </si>
  <si>
    <t>Jimmy 
Li</t>
  </si>
  <si>
    <t>Keagan
Foster</t>
  </si>
  <si>
    <t>Kosala
Edirisinghe</t>
  </si>
  <si>
    <t>Krishna
Adhikari</t>
  </si>
  <si>
    <t>Lyndon
Prado</t>
  </si>
  <si>
    <t>Migara 
Gunarathne</t>
  </si>
  <si>
    <t>Shenal 
Nirushka</t>
  </si>
  <si>
    <t>Score to:</t>
  </si>
  <si>
    <t>Code Review
and Quality</t>
  </si>
  <si>
    <t>Effort and
Initiative</t>
  </si>
  <si>
    <t>Communication</t>
  </si>
  <si>
    <t>Ayub Khan</t>
  </si>
  <si>
    <t xml:space="preserve">Dineth Gunawardena </t>
  </si>
  <si>
    <t xml:space="preserve">Jimmy Li </t>
  </si>
  <si>
    <t xml:space="preserve">Keagan Foster </t>
  </si>
  <si>
    <t xml:space="preserve">Kosala Edirisinghe </t>
  </si>
  <si>
    <t>Krishna Adhikari</t>
  </si>
  <si>
    <t>Lyndon Prado</t>
  </si>
  <si>
    <t>Suggestions from =&gt;</t>
  </si>
  <si>
    <t>3 highlights</t>
  </si>
  <si>
    <t>3 improvements</t>
  </si>
  <si>
    <t xml:space="preserve">Suggesstions to: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</si>
</sst>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b/>
      <sz val="11.0"/>
      <color rgb="FF000000"/>
      <name val="Arial"/>
    </font>
    <font>
      <b/>
      <sz val="11.0"/>
    </font>
    <font>
      <sz val="11.0"/>
      <color rgb="FF000000"/>
      <name val="Arial"/>
    </font>
    <font>
      <b/>
    </font>
    <font>
      <sz val="11.0"/>
      <color rgb="FF1155CC"/>
      <name val="Inconsolata"/>
    </font>
  </fonts>
  <fills count="9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3F3F3"/>
        <bgColor rgb="FFF3F3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0" fillId="2" fontId="3" numFmtId="0" xfId="0" applyAlignment="1" applyFill="1" applyFont="1">
      <alignment horizontal="center" readingOrder="0" vertical="center"/>
    </xf>
    <xf borderId="1" fillId="0" fontId="4" numFmtId="0" xfId="0" applyAlignment="1" applyBorder="1" applyFont="1">
      <alignment readingOrder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3" fontId="5" numFmtId="0" xfId="0" applyAlignment="1" applyFill="1" applyFont="1">
      <alignment readingOrder="0"/>
    </xf>
    <xf borderId="0" fillId="4" fontId="1" numFmtId="0" xfId="0" applyAlignment="1" applyFill="1" applyFont="1">
      <alignment horizontal="center" vertical="center"/>
    </xf>
    <xf borderId="0" fillId="4" fontId="1" numFmtId="0" xfId="0" applyFont="1"/>
    <xf borderId="0" fillId="4" fontId="6" numFmtId="0" xfId="0" applyFont="1"/>
    <xf borderId="0" fillId="4" fontId="1" numFmtId="0" xfId="0" applyAlignment="1" applyFont="1">
      <alignment horizontal="center" readingOrder="0" vertical="center"/>
    </xf>
    <xf borderId="0" fillId="5" fontId="1" numFmtId="0" xfId="0" applyAlignment="1" applyFill="1" applyFont="1">
      <alignment horizontal="center" vertical="center"/>
    </xf>
    <xf borderId="0" fillId="5" fontId="1" numFmtId="0" xfId="0" applyFont="1"/>
    <xf borderId="0" fillId="5" fontId="1" numFmtId="0" xfId="0" applyAlignment="1" applyFont="1">
      <alignment horizontal="center" readingOrder="0" vertical="center"/>
    </xf>
    <xf borderId="0" fillId="4" fontId="4" numFmtId="0" xfId="0" applyAlignment="1" applyFont="1">
      <alignment horizontal="center" readingOrder="0" vertical="center"/>
    </xf>
    <xf borderId="0" fillId="0" fontId="5" numFmtId="0" xfId="0" applyAlignment="1" applyFont="1">
      <alignment readingOrder="0"/>
    </xf>
    <xf borderId="0" fillId="6" fontId="1" numFmtId="0" xfId="0" applyFill="1" applyFont="1"/>
    <xf borderId="0" fillId="6" fontId="1" numFmtId="0" xfId="0" applyAlignment="1" applyFont="1">
      <alignment readingOrder="0"/>
    </xf>
    <xf borderId="0" fillId="7" fontId="1" numFmtId="0" xfId="0" applyFill="1" applyFont="1"/>
    <xf borderId="0" fillId="7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8" fontId="1" numFmtId="0" xfId="0" applyFill="1" applyFont="1"/>
    <xf borderId="0" fillId="8" fontId="1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0"/>
    <col customWidth="1" min="3" max="3" width="14.29"/>
  </cols>
  <sheetData>
    <row r="1">
      <c r="A1" s="1" t="s">
        <v>0</v>
      </c>
      <c r="B1" s="1"/>
    </row>
    <row r="2">
      <c r="A2" s="1" t="s">
        <v>1</v>
      </c>
      <c r="B2" s="1">
        <v>5.0</v>
      </c>
      <c r="D2" s="1">
        <v>5.0</v>
      </c>
      <c r="F2" s="1">
        <v>6.0</v>
      </c>
      <c r="H2" s="1">
        <v>5.0</v>
      </c>
      <c r="J2" s="1">
        <v>6.0</v>
      </c>
      <c r="L2" s="1">
        <v>5.0</v>
      </c>
      <c r="N2" s="1">
        <v>5.0</v>
      </c>
      <c r="P2" s="1">
        <v>5.0</v>
      </c>
      <c r="R2" s="1">
        <v>6.0</v>
      </c>
    </row>
    <row r="3">
      <c r="A3" s="2" t="s">
        <v>2</v>
      </c>
      <c r="B3" s="3" t="s">
        <v>3</v>
      </c>
      <c r="C3" s="3" t="s">
        <v>4</v>
      </c>
      <c r="D3" s="3" t="s">
        <v>5</v>
      </c>
      <c r="E3" s="3" t="s">
        <v>4</v>
      </c>
      <c r="F3" s="3" t="s">
        <v>6</v>
      </c>
      <c r="G3" s="3" t="s">
        <v>4</v>
      </c>
      <c r="H3" s="3" t="s">
        <v>7</v>
      </c>
      <c r="I3" s="3" t="s">
        <v>4</v>
      </c>
      <c r="J3" s="3" t="s">
        <v>8</v>
      </c>
      <c r="K3" s="3" t="s">
        <v>4</v>
      </c>
      <c r="L3" s="3" t="s">
        <v>9</v>
      </c>
      <c r="M3" s="3" t="s">
        <v>4</v>
      </c>
      <c r="N3" s="3" t="s">
        <v>10</v>
      </c>
      <c r="O3" s="3" t="s">
        <v>4</v>
      </c>
      <c r="P3" s="3" t="s">
        <v>11</v>
      </c>
      <c r="Q3" s="3" t="s">
        <v>4</v>
      </c>
      <c r="R3" s="3" t="s">
        <v>12</v>
      </c>
      <c r="S3" s="3" t="s">
        <v>4</v>
      </c>
    </row>
    <row r="4">
      <c r="A4" s="4" t="s">
        <v>13</v>
      </c>
      <c r="B4" s="5">
        <f>(3+3+3+3+3)</f>
        <v>15</v>
      </c>
      <c r="C4" s="5">
        <f t="shared" ref="C4:C12" si="1">B4/$B$2</f>
        <v>3</v>
      </c>
      <c r="D4" s="6">
        <f>(3+3+3+3+4)</f>
        <v>16</v>
      </c>
      <c r="E4" s="6">
        <f t="shared" ref="E4:E12" si="2">D4/$D$2</f>
        <v>3.2</v>
      </c>
      <c r="F4" s="6">
        <f>(3+4+3+3+2+4)</f>
        <v>19</v>
      </c>
      <c r="G4" s="6">
        <f t="shared" ref="G4:G12" si="3">F4/$F$2</f>
        <v>3.166666667</v>
      </c>
      <c r="H4" s="6">
        <f>(4+4+4+3+4)</f>
        <v>19</v>
      </c>
      <c r="I4" s="6">
        <f t="shared" ref="I4:I12" si="4">H4/$H$2</f>
        <v>3.8</v>
      </c>
      <c r="J4" s="6">
        <f>(3+3+2+2+2+3)</f>
        <v>15</v>
      </c>
      <c r="K4" s="6">
        <f t="shared" ref="K4:K12" si="5">J4/$J$2</f>
        <v>2.5</v>
      </c>
      <c r="L4" s="6">
        <f>(4+4+4+3+4)</f>
        <v>19</v>
      </c>
      <c r="M4" s="6">
        <f t="shared" ref="M4:M12" si="6">L4/$L$2</f>
        <v>3.8</v>
      </c>
      <c r="N4" s="5">
        <f>(4+4+4+4+4)</f>
        <v>20</v>
      </c>
      <c r="O4" s="6">
        <f t="shared" ref="O4:O12" si="7">N4/$N$2</f>
        <v>4</v>
      </c>
      <c r="P4" s="6">
        <f>(2+2+3+2+1)</f>
        <v>10</v>
      </c>
      <c r="Q4" s="6">
        <f t="shared" ref="Q4:Q12" si="8">P4/$P$2</f>
        <v>2</v>
      </c>
      <c r="R4" s="6">
        <f>(2+3+3+2+2+2)</f>
        <v>14</v>
      </c>
      <c r="S4" s="6">
        <f t="shared" ref="S4:S12" si="9">R4/$R$2</f>
        <v>2.333333333</v>
      </c>
    </row>
    <row r="5">
      <c r="A5" s="4" t="s">
        <v>14</v>
      </c>
      <c r="B5" s="5">
        <f>(3+3+3+4+2)</f>
        <v>15</v>
      </c>
      <c r="C5" s="5">
        <f t="shared" si="1"/>
        <v>3</v>
      </c>
      <c r="D5" s="5">
        <f>(3+3+3+4+2)</f>
        <v>15</v>
      </c>
      <c r="E5" s="6">
        <f t="shared" si="2"/>
        <v>3</v>
      </c>
      <c r="F5" s="5">
        <f>(3+3+4+3+4+4)</f>
        <v>21</v>
      </c>
      <c r="G5" s="6">
        <f t="shared" si="3"/>
        <v>3.5</v>
      </c>
      <c r="H5" s="5">
        <f>(3+3+4+4+4)</f>
        <v>18</v>
      </c>
      <c r="I5" s="6">
        <f t="shared" si="4"/>
        <v>3.6</v>
      </c>
      <c r="J5" s="5">
        <f>(3+3+3+2+4+2)</f>
        <v>17</v>
      </c>
      <c r="K5" s="6">
        <f t="shared" si="5"/>
        <v>2.833333333</v>
      </c>
      <c r="L5" s="5">
        <f>(4+4+4+4+4)</f>
        <v>20</v>
      </c>
      <c r="M5" s="6">
        <f t="shared" si="6"/>
        <v>4</v>
      </c>
      <c r="N5" s="5">
        <f>(4+4+4+3+4)</f>
        <v>19</v>
      </c>
      <c r="O5" s="6">
        <f t="shared" si="7"/>
        <v>3.8</v>
      </c>
      <c r="P5" s="5">
        <f>(3+3+3+2+4)</f>
        <v>15</v>
      </c>
      <c r="Q5" s="6">
        <f t="shared" si="8"/>
        <v>3</v>
      </c>
      <c r="R5" s="5">
        <f>(3+3+3+3+4+2)</f>
        <v>18</v>
      </c>
      <c r="S5" s="6">
        <f t="shared" si="9"/>
        <v>3</v>
      </c>
    </row>
    <row r="6">
      <c r="A6" s="4" t="s">
        <v>15</v>
      </c>
      <c r="B6" s="5">
        <f>(3+2+2+3+2)</f>
        <v>12</v>
      </c>
      <c r="C6" s="5">
        <f t="shared" si="1"/>
        <v>2.4</v>
      </c>
      <c r="D6" s="5">
        <f>(2+2+2+3+2)</f>
        <v>11</v>
      </c>
      <c r="E6" s="6">
        <f t="shared" si="2"/>
        <v>2.2</v>
      </c>
      <c r="F6" s="5">
        <f>(4+3+3+3+3+4)</f>
        <v>20</v>
      </c>
      <c r="G6" s="6">
        <f t="shared" si="3"/>
        <v>3.333333333</v>
      </c>
      <c r="H6" s="5">
        <f>(4+3+3+3+4)</f>
        <v>17</v>
      </c>
      <c r="I6" s="6">
        <f t="shared" si="4"/>
        <v>3.4</v>
      </c>
      <c r="J6" s="5">
        <f>(2+2+2+1+2+2)</f>
        <v>11</v>
      </c>
      <c r="K6" s="6">
        <f t="shared" si="5"/>
        <v>1.833333333</v>
      </c>
      <c r="L6" s="5">
        <f>(3+3+3+3+3)</f>
        <v>15</v>
      </c>
      <c r="M6" s="6">
        <f t="shared" si="6"/>
        <v>3</v>
      </c>
      <c r="N6" s="5">
        <f>(4+4+3+3+4)</f>
        <v>18</v>
      </c>
      <c r="O6" s="6">
        <f t="shared" si="7"/>
        <v>3.6</v>
      </c>
      <c r="P6" s="5">
        <f>(2+2+2+1+2)</f>
        <v>9</v>
      </c>
      <c r="Q6" s="6">
        <f t="shared" si="8"/>
        <v>1.8</v>
      </c>
      <c r="R6" s="5">
        <f>(2+2+2+2+2+2)</f>
        <v>12</v>
      </c>
      <c r="S6" s="6">
        <f t="shared" si="9"/>
        <v>2</v>
      </c>
    </row>
    <row r="7">
      <c r="A7" s="4" t="s">
        <v>16</v>
      </c>
      <c r="B7" s="5">
        <f>(3+3+2+2+2)</f>
        <v>12</v>
      </c>
      <c r="C7" s="5">
        <f t="shared" si="1"/>
        <v>2.4</v>
      </c>
      <c r="D7" s="5">
        <f>(2+2+1+2+3)</f>
        <v>10</v>
      </c>
      <c r="E7" s="6">
        <f t="shared" si="2"/>
        <v>2</v>
      </c>
      <c r="F7" s="5">
        <f t="shared" ref="F7:F8" si="10">(4+4+4+4+4+4)</f>
        <v>24</v>
      </c>
      <c r="G7" s="6">
        <f t="shared" si="3"/>
        <v>4</v>
      </c>
      <c r="H7" s="5">
        <f t="shared" ref="H7:H9" si="11">(4+4+4+4+4)</f>
        <v>20</v>
      </c>
      <c r="I7" s="6">
        <f t="shared" si="4"/>
        <v>4</v>
      </c>
      <c r="J7" s="5">
        <f>(2+2+2+0+2+2)</f>
        <v>10</v>
      </c>
      <c r="K7" s="6">
        <f t="shared" si="5"/>
        <v>1.666666667</v>
      </c>
      <c r="L7" s="5">
        <f>(3+4+3+3+4)</f>
        <v>17</v>
      </c>
      <c r="M7" s="6">
        <f t="shared" si="6"/>
        <v>3.4</v>
      </c>
      <c r="N7" s="5">
        <f>(4+4+4+4+4)</f>
        <v>20</v>
      </c>
      <c r="O7" s="6">
        <f t="shared" si="7"/>
        <v>4</v>
      </c>
      <c r="P7" s="5">
        <f>(2+2+2+0+2)</f>
        <v>8</v>
      </c>
      <c r="Q7" s="6">
        <f t="shared" si="8"/>
        <v>1.6</v>
      </c>
      <c r="R7" s="5">
        <f>(2+2+3+2+2+2)</f>
        <v>13</v>
      </c>
      <c r="S7" s="6">
        <f t="shared" si="9"/>
        <v>2.166666667</v>
      </c>
    </row>
    <row r="8">
      <c r="A8" s="4" t="s">
        <v>17</v>
      </c>
      <c r="B8" s="5">
        <f>(3+2+2+3+4)</f>
        <v>14</v>
      </c>
      <c r="C8" s="5">
        <f t="shared" si="1"/>
        <v>2.8</v>
      </c>
      <c r="D8" s="5">
        <f>(3+3+2+3+4)</f>
        <v>15</v>
      </c>
      <c r="E8" s="6">
        <f t="shared" si="2"/>
        <v>3</v>
      </c>
      <c r="F8" s="5">
        <f t="shared" si="10"/>
        <v>24</v>
      </c>
      <c r="G8" s="6">
        <f t="shared" si="3"/>
        <v>4</v>
      </c>
      <c r="H8" s="5">
        <f t="shared" si="11"/>
        <v>20</v>
      </c>
      <c r="I8" s="6">
        <f t="shared" si="4"/>
        <v>4</v>
      </c>
      <c r="J8" s="5">
        <f>(3+3+2+2+3+4)</f>
        <v>17</v>
      </c>
      <c r="K8" s="6">
        <f t="shared" si="5"/>
        <v>2.833333333</v>
      </c>
      <c r="L8" s="5">
        <f t="shared" ref="L8:L9" si="12">(4+4+3+3+4)</f>
        <v>18</v>
      </c>
      <c r="M8" s="6">
        <f t="shared" si="6"/>
        <v>3.6</v>
      </c>
      <c r="N8" s="5">
        <f>(3+3+3+2+4)</f>
        <v>15</v>
      </c>
      <c r="O8" s="6">
        <f t="shared" si="7"/>
        <v>3</v>
      </c>
      <c r="P8" s="5">
        <f>(3+3+2+2+3)</f>
        <v>13</v>
      </c>
      <c r="Q8" s="6">
        <f t="shared" si="8"/>
        <v>2.6</v>
      </c>
      <c r="R8" s="5">
        <f>(3+3+2+2+3+3)</f>
        <v>16</v>
      </c>
      <c r="S8" s="6">
        <f t="shared" si="9"/>
        <v>2.666666667</v>
      </c>
    </row>
    <row r="9">
      <c r="A9" s="4" t="s">
        <v>18</v>
      </c>
      <c r="B9" s="5">
        <f>(3+3+2+2+3)</f>
        <v>13</v>
      </c>
      <c r="C9" s="5">
        <f t="shared" si="1"/>
        <v>2.6</v>
      </c>
      <c r="D9" s="5">
        <f>(2+3+2+2+4)</f>
        <v>13</v>
      </c>
      <c r="E9" s="6">
        <f t="shared" si="2"/>
        <v>2.6</v>
      </c>
      <c r="F9" s="5">
        <f>(4+4+4+3+3+4)</f>
        <v>22</v>
      </c>
      <c r="G9" s="6">
        <f t="shared" si="3"/>
        <v>3.666666667</v>
      </c>
      <c r="H9" s="5">
        <f t="shared" si="11"/>
        <v>20</v>
      </c>
      <c r="I9" s="6">
        <f t="shared" si="4"/>
        <v>4</v>
      </c>
      <c r="J9" s="5">
        <f>(2+3+2+0+2+3)</f>
        <v>12</v>
      </c>
      <c r="K9" s="6">
        <f t="shared" si="5"/>
        <v>2</v>
      </c>
      <c r="L9" s="5">
        <f t="shared" si="12"/>
        <v>18</v>
      </c>
      <c r="M9" s="6">
        <f t="shared" si="6"/>
        <v>3.6</v>
      </c>
      <c r="N9" s="5">
        <f t="shared" ref="N9:N12" si="13">(4+4+4+4+4)</f>
        <v>20</v>
      </c>
      <c r="O9" s="6">
        <f t="shared" si="7"/>
        <v>4</v>
      </c>
      <c r="P9" s="5">
        <f>(2+3+2+0+2)</f>
        <v>9</v>
      </c>
      <c r="Q9" s="6">
        <f t="shared" si="8"/>
        <v>1.8</v>
      </c>
      <c r="R9" s="5">
        <f>(2+3+2+2+2+3)</f>
        <v>14</v>
      </c>
      <c r="S9" s="6">
        <f t="shared" si="9"/>
        <v>2.333333333</v>
      </c>
    </row>
    <row r="10">
      <c r="A10" s="4" t="s">
        <v>19</v>
      </c>
      <c r="B10" s="5">
        <f>(2+3+2+3+3)</f>
        <v>13</v>
      </c>
      <c r="C10" s="5">
        <f t="shared" si="1"/>
        <v>2.6</v>
      </c>
      <c r="D10" s="5">
        <f>(2+2+2+3+4)</f>
        <v>13</v>
      </c>
      <c r="E10" s="6">
        <f t="shared" si="2"/>
        <v>2.6</v>
      </c>
      <c r="F10" s="5">
        <f>(3+3+4+4+3+4)</f>
        <v>21</v>
      </c>
      <c r="G10" s="6">
        <f t="shared" si="3"/>
        <v>3.5</v>
      </c>
      <c r="H10" s="5">
        <f>(3+3+4+3+4)</f>
        <v>17</v>
      </c>
      <c r="I10" s="6">
        <f t="shared" si="4"/>
        <v>3.4</v>
      </c>
      <c r="J10" s="5">
        <f>(2+3+2+0+3+3)</f>
        <v>13</v>
      </c>
      <c r="K10" s="6">
        <f t="shared" si="5"/>
        <v>2.166666667</v>
      </c>
      <c r="L10" s="5">
        <f>(4+4+4+3+4)</f>
        <v>19</v>
      </c>
      <c r="M10" s="6">
        <f t="shared" si="6"/>
        <v>3.8</v>
      </c>
      <c r="N10" s="5">
        <f t="shared" si="13"/>
        <v>20</v>
      </c>
      <c r="O10" s="6">
        <f t="shared" si="7"/>
        <v>4</v>
      </c>
      <c r="P10" s="5">
        <f>(2+2+2+0+2)</f>
        <v>8</v>
      </c>
      <c r="Q10" s="6">
        <f t="shared" si="8"/>
        <v>1.6</v>
      </c>
      <c r="R10" s="5">
        <f>(2+2+3+2+3+3)</f>
        <v>15</v>
      </c>
      <c r="S10" s="6">
        <f t="shared" si="9"/>
        <v>2.5</v>
      </c>
    </row>
    <row r="11">
      <c r="A11" s="4" t="s">
        <v>20</v>
      </c>
      <c r="B11" s="5">
        <f>(1+2+1+2+2)</f>
        <v>8</v>
      </c>
      <c r="C11" s="5">
        <f t="shared" si="1"/>
        <v>1.6</v>
      </c>
      <c r="D11" s="5">
        <f>(1+2+1+2+2)</f>
        <v>8</v>
      </c>
      <c r="E11" s="6">
        <f t="shared" si="2"/>
        <v>1.6</v>
      </c>
      <c r="F11" s="5">
        <f>(4+4+4+4+3+4)</f>
        <v>23</v>
      </c>
      <c r="G11" s="6">
        <f t="shared" si="3"/>
        <v>3.833333333</v>
      </c>
      <c r="H11" s="5">
        <f>(4+4+4+3+4)</f>
        <v>19</v>
      </c>
      <c r="I11" s="6">
        <f t="shared" si="4"/>
        <v>3.8</v>
      </c>
      <c r="J11" s="5">
        <f>(1+2+2+1+2+2)</f>
        <v>10</v>
      </c>
      <c r="K11" s="6">
        <f t="shared" si="5"/>
        <v>1.666666667</v>
      </c>
      <c r="L11" s="5">
        <f>(3+3+3+2+2)</f>
        <v>13</v>
      </c>
      <c r="M11" s="6">
        <f t="shared" si="6"/>
        <v>2.6</v>
      </c>
      <c r="N11" s="5">
        <f t="shared" si="13"/>
        <v>20</v>
      </c>
      <c r="O11" s="6">
        <f t="shared" si="7"/>
        <v>4</v>
      </c>
      <c r="P11" s="5">
        <f>(1+2+2+1+1)</f>
        <v>7</v>
      </c>
      <c r="Q11" s="6">
        <f t="shared" si="8"/>
        <v>1.4</v>
      </c>
      <c r="R11" s="5">
        <f>(1+2+2+1+1+3)</f>
        <v>10</v>
      </c>
      <c r="S11" s="6">
        <f t="shared" si="9"/>
        <v>1.666666667</v>
      </c>
    </row>
    <row r="12">
      <c r="A12" s="4" t="s">
        <v>21</v>
      </c>
      <c r="B12" s="5">
        <f>(2+2+1+2+0)</f>
        <v>7</v>
      </c>
      <c r="C12" s="5">
        <f t="shared" si="1"/>
        <v>1.4</v>
      </c>
      <c r="D12" s="5">
        <f>(2+2+1+2+0)</f>
        <v>7</v>
      </c>
      <c r="E12" s="6">
        <f t="shared" si="2"/>
        <v>1.4</v>
      </c>
      <c r="F12" s="5">
        <f>(4+4+3+3+3+2)</f>
        <v>19</v>
      </c>
      <c r="G12" s="6">
        <f t="shared" si="3"/>
        <v>3.166666667</v>
      </c>
      <c r="H12" s="5">
        <f>(4+4+3+3+2)</f>
        <v>16</v>
      </c>
      <c r="I12" s="6">
        <f t="shared" si="4"/>
        <v>3.2</v>
      </c>
      <c r="J12" s="5">
        <f>(2+2+1+0+1+0)</f>
        <v>6</v>
      </c>
      <c r="K12" s="6">
        <f t="shared" si="5"/>
        <v>1</v>
      </c>
      <c r="L12" s="5">
        <f>(3+3+3+3+1)</f>
        <v>13</v>
      </c>
      <c r="M12" s="6">
        <f t="shared" si="6"/>
        <v>2.6</v>
      </c>
      <c r="N12" s="5">
        <f t="shared" si="13"/>
        <v>20</v>
      </c>
      <c r="O12" s="6">
        <f t="shared" si="7"/>
        <v>4</v>
      </c>
      <c r="P12" s="5">
        <f>(2+2+1+0+1)</f>
        <v>6</v>
      </c>
      <c r="Q12" s="6">
        <f t="shared" si="8"/>
        <v>1.2</v>
      </c>
      <c r="R12" s="5">
        <f>(2+3+3+1+1+0)</f>
        <v>10</v>
      </c>
      <c r="S12" s="6">
        <f t="shared" si="9"/>
        <v>1.666666667</v>
      </c>
    </row>
    <row r="13">
      <c r="A13" s="7" t="s">
        <v>22</v>
      </c>
      <c r="B13" s="8"/>
      <c r="C13" s="9">
        <f>(SUM(C4:C12)/(4*9))*36</f>
        <v>21.8</v>
      </c>
      <c r="D13" s="8"/>
      <c r="E13" s="8">
        <f>(SUM(E4:E12)/(4*9))*36</f>
        <v>21.6</v>
      </c>
      <c r="F13" s="8"/>
      <c r="G13" s="8">
        <f>SUM(G4:G12)/(4*9)*36</f>
        <v>32.16666667</v>
      </c>
      <c r="H13" s="8"/>
      <c r="I13" s="8">
        <f>(SUM(I4:I12)/(4*9))*36</f>
        <v>33.2</v>
      </c>
      <c r="J13" s="8"/>
      <c r="K13" s="8">
        <f>(SUM(K4:K12)/(4*9))*36</f>
        <v>18.5</v>
      </c>
      <c r="L13" s="8"/>
      <c r="M13" s="8">
        <f>(SUM(M4:M12)/(4*9))*36</f>
        <v>30.4</v>
      </c>
      <c r="N13" s="8"/>
      <c r="O13" s="8">
        <f>(SUM(O4:O12)/(4*9))*36</f>
        <v>34.4</v>
      </c>
      <c r="P13" s="8"/>
      <c r="Q13" s="10">
        <f>(SUM(Q4:Q12)/(4*9))*36</f>
        <v>17</v>
      </c>
      <c r="R13" s="11"/>
      <c r="S13" s="10">
        <f>(SUM(S4:S12)/(4*9))*36</f>
        <v>20.33333333</v>
      </c>
    </row>
    <row r="14">
      <c r="A14" s="7" t="s">
        <v>23</v>
      </c>
      <c r="B14" s="12"/>
      <c r="C14" s="13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4"/>
      <c r="S14" s="12" t="str">
        <f>#REF!/$R$2</f>
        <v>#REF!</v>
      </c>
    </row>
    <row r="15">
      <c r="A15" s="4" t="s">
        <v>24</v>
      </c>
      <c r="B15" s="6">
        <f>(2+2+2+2+2)</f>
        <v>10</v>
      </c>
      <c r="C15" s="5">
        <f t="shared" ref="C15:C29" si="14">B15/$B$2</f>
        <v>2</v>
      </c>
      <c r="D15" s="5">
        <f>(2+2+2+2+2)</f>
        <v>10</v>
      </c>
      <c r="E15" s="6">
        <f t="shared" ref="E15:E29" si="15">D15/$D$2</f>
        <v>2</v>
      </c>
      <c r="F15" s="15">
        <f>(4+4+4+4+4+4)</f>
        <v>24</v>
      </c>
      <c r="G15" s="6">
        <f t="shared" ref="G15:G29" si="16">F15/$F$2</f>
        <v>4</v>
      </c>
      <c r="H15" s="5">
        <f>(4+4+4+4+4)</f>
        <v>20</v>
      </c>
      <c r="I15" s="6">
        <f t="shared" ref="I15:I29" si="17">H15/$H$2</f>
        <v>4</v>
      </c>
      <c r="J15" s="5">
        <f>(2+2+2+0+2+1)</f>
        <v>9</v>
      </c>
      <c r="K15" s="6">
        <f t="shared" ref="K15:K29" si="18">J15/$J$2</f>
        <v>1.5</v>
      </c>
      <c r="L15" s="5">
        <f>(3+3+3+2+2)</f>
        <v>13</v>
      </c>
      <c r="M15" s="6">
        <f t="shared" ref="M15:M29" si="19">L15/$L$2</f>
        <v>2.6</v>
      </c>
      <c r="N15" s="5">
        <f>(4+3+3+3+3)</f>
        <v>16</v>
      </c>
      <c r="O15" s="6">
        <f t="shared" ref="O15:O29" si="20">N15/$N$2</f>
        <v>3.2</v>
      </c>
      <c r="P15" s="5">
        <f>(2+2+2+0+1)</f>
        <v>7</v>
      </c>
      <c r="Q15" s="6">
        <f t="shared" ref="Q15:Q29" si="21">P15/$P$2</f>
        <v>1.4</v>
      </c>
      <c r="R15" s="5">
        <f>(2+2+2+2+2+2)</f>
        <v>12</v>
      </c>
      <c r="S15" s="6">
        <f t="shared" ref="S15:S29" si="22">R15/$R$2</f>
        <v>2</v>
      </c>
    </row>
    <row r="16">
      <c r="A16" s="4" t="s">
        <v>25</v>
      </c>
      <c r="B16" s="6">
        <f>(1+3+2+2+3)</f>
        <v>11</v>
      </c>
      <c r="C16" s="5">
        <f t="shared" si="14"/>
        <v>2.2</v>
      </c>
      <c r="D16" s="5">
        <f t="shared" ref="D16:D17" si="23">(3+3+2+3+2)</f>
        <v>13</v>
      </c>
      <c r="E16" s="6">
        <f t="shared" si="15"/>
        <v>2.6</v>
      </c>
      <c r="F16" s="5">
        <f>(4+3+4+3+4+3)</f>
        <v>21</v>
      </c>
      <c r="G16" s="6">
        <f t="shared" si="16"/>
        <v>3.5</v>
      </c>
      <c r="H16" s="5">
        <f>(4+3+3+4+3)</f>
        <v>17</v>
      </c>
      <c r="I16" s="6">
        <f t="shared" si="17"/>
        <v>3.4</v>
      </c>
      <c r="J16" s="5">
        <f>(3+3+2+1+3+1)</f>
        <v>13</v>
      </c>
      <c r="K16" s="6">
        <f t="shared" si="18"/>
        <v>2.166666667</v>
      </c>
      <c r="L16" s="5">
        <f>(4+3+4+4+4)</f>
        <v>19</v>
      </c>
      <c r="M16" s="6">
        <f t="shared" si="19"/>
        <v>3.8</v>
      </c>
      <c r="N16" s="5">
        <f t="shared" ref="N16:N17" si="24">(4+4+4+4+4)</f>
        <v>20</v>
      </c>
      <c r="O16" s="6">
        <f t="shared" si="20"/>
        <v>4</v>
      </c>
      <c r="P16" s="5">
        <f>(3+3+2+1+3)</f>
        <v>12</v>
      </c>
      <c r="Q16" s="6">
        <f t="shared" si="21"/>
        <v>2.4</v>
      </c>
      <c r="R16" s="5">
        <f>(3+3+2+2+3+1)</f>
        <v>14</v>
      </c>
      <c r="S16" s="6">
        <f t="shared" si="22"/>
        <v>2.333333333</v>
      </c>
    </row>
    <row r="17">
      <c r="A17" s="4" t="s">
        <v>26</v>
      </c>
      <c r="B17" s="6">
        <f>(3+2+3+3+3+2)</f>
        <v>16</v>
      </c>
      <c r="C17" s="5">
        <f t="shared" si="14"/>
        <v>3.2</v>
      </c>
      <c r="D17" s="5">
        <f t="shared" si="23"/>
        <v>13</v>
      </c>
      <c r="E17" s="6">
        <f t="shared" si="15"/>
        <v>2.6</v>
      </c>
      <c r="F17" s="5">
        <f>(3+3+3+4+3+2)</f>
        <v>18</v>
      </c>
      <c r="G17" s="6">
        <f t="shared" si="16"/>
        <v>3</v>
      </c>
      <c r="H17" s="5">
        <f>(3+3+3+3+4)</f>
        <v>16</v>
      </c>
      <c r="I17" s="6">
        <f t="shared" si="17"/>
        <v>3.2</v>
      </c>
      <c r="J17" s="5">
        <f>(3+3+2+2+2+1)</f>
        <v>13</v>
      </c>
      <c r="K17" s="6">
        <f t="shared" si="18"/>
        <v>2.166666667</v>
      </c>
      <c r="L17" s="5">
        <f>(4+4+4+3+4)</f>
        <v>19</v>
      </c>
      <c r="M17" s="6">
        <f t="shared" si="19"/>
        <v>3.8</v>
      </c>
      <c r="N17" s="5">
        <f t="shared" si="24"/>
        <v>20</v>
      </c>
      <c r="O17" s="6">
        <f t="shared" si="20"/>
        <v>4</v>
      </c>
      <c r="P17" s="5">
        <f>(3+3+2+1+2)</f>
        <v>11</v>
      </c>
      <c r="Q17" s="6">
        <f t="shared" si="21"/>
        <v>2.2</v>
      </c>
      <c r="R17" s="5">
        <f>(3+3+2+3+3+2)</f>
        <v>16</v>
      </c>
      <c r="S17" s="6">
        <f t="shared" si="22"/>
        <v>2.666666667</v>
      </c>
    </row>
    <row r="18">
      <c r="A18" s="4" t="s">
        <v>27</v>
      </c>
      <c r="B18" s="6">
        <f>(1+2+2+2+3)</f>
        <v>10</v>
      </c>
      <c r="C18" s="5">
        <f t="shared" si="14"/>
        <v>2</v>
      </c>
      <c r="D18" s="5">
        <f>(2+2+2+2+1)</f>
        <v>9</v>
      </c>
      <c r="E18" s="6">
        <f t="shared" si="15"/>
        <v>1.8</v>
      </c>
      <c r="F18" s="5">
        <f>(4+3+3+4+4+4)</f>
        <v>22</v>
      </c>
      <c r="G18" s="6">
        <f t="shared" si="16"/>
        <v>3.666666667</v>
      </c>
      <c r="H18" s="5">
        <f>(3+3+3+4+3)</f>
        <v>16</v>
      </c>
      <c r="I18" s="6">
        <f t="shared" si="17"/>
        <v>3.2</v>
      </c>
      <c r="J18" s="5">
        <f>(2+2+2+0+2+0)</f>
        <v>8</v>
      </c>
      <c r="K18" s="6">
        <f t="shared" si="18"/>
        <v>1.333333333</v>
      </c>
      <c r="L18" s="5">
        <f>(3+3+3+4+3)</f>
        <v>16</v>
      </c>
      <c r="M18" s="6">
        <f t="shared" si="19"/>
        <v>3.2</v>
      </c>
      <c r="N18" s="5">
        <f>(4+3+3+4+4)</f>
        <v>18</v>
      </c>
      <c r="O18" s="6">
        <f t="shared" si="20"/>
        <v>3.6</v>
      </c>
      <c r="P18" s="5">
        <f t="shared" ref="P18:P19" si="25">(2+2+2+0+1)</f>
        <v>7</v>
      </c>
      <c r="Q18" s="6">
        <f t="shared" si="21"/>
        <v>1.4</v>
      </c>
      <c r="R18" s="5">
        <f>(2+2+2+2+2+1)</f>
        <v>11</v>
      </c>
      <c r="S18" s="6">
        <f t="shared" si="22"/>
        <v>1.833333333</v>
      </c>
    </row>
    <row r="19">
      <c r="A19" s="4" t="s">
        <v>28</v>
      </c>
      <c r="B19" s="6">
        <f>(3+2+2+2+0)</f>
        <v>9</v>
      </c>
      <c r="C19" s="5">
        <f t="shared" si="14"/>
        <v>1.8</v>
      </c>
      <c r="D19" s="5">
        <f>(2+2+1+2+0)</f>
        <v>7</v>
      </c>
      <c r="E19" s="6">
        <f t="shared" si="15"/>
        <v>1.4</v>
      </c>
      <c r="F19" s="5">
        <f>(3+3+3+3+2+0)</f>
        <v>14</v>
      </c>
      <c r="G19" s="6">
        <f t="shared" si="16"/>
        <v>2.333333333</v>
      </c>
      <c r="H19" s="5">
        <f>(3+3+3+2+0)</f>
        <v>11</v>
      </c>
      <c r="I19" s="6">
        <f t="shared" si="17"/>
        <v>2.2</v>
      </c>
      <c r="J19" s="5">
        <f>(2+2+2+0+1+1)</f>
        <v>8</v>
      </c>
      <c r="K19" s="6">
        <f t="shared" si="18"/>
        <v>1.333333333</v>
      </c>
      <c r="L19" s="5">
        <f>(4+4+4+3+3)</f>
        <v>18</v>
      </c>
      <c r="M19" s="6">
        <f t="shared" si="19"/>
        <v>3.6</v>
      </c>
      <c r="N19" s="5">
        <f>(4+4+4+4+3)</f>
        <v>19</v>
      </c>
      <c r="O19" s="6">
        <f t="shared" si="20"/>
        <v>3.8</v>
      </c>
      <c r="P19" s="5">
        <f t="shared" si="25"/>
        <v>7</v>
      </c>
      <c r="Q19" s="6">
        <f t="shared" si="21"/>
        <v>1.4</v>
      </c>
      <c r="R19" s="5">
        <f>(2+2+2+1+2+0)</f>
        <v>9</v>
      </c>
      <c r="S19" s="6">
        <f t="shared" si="22"/>
        <v>1.5</v>
      </c>
    </row>
    <row r="20">
      <c r="A20" s="4" t="s">
        <v>29</v>
      </c>
      <c r="B20" s="6">
        <f>(3+3+2+3+3)</f>
        <v>14</v>
      </c>
      <c r="C20" s="5">
        <f t="shared" si="14"/>
        <v>2.8</v>
      </c>
      <c r="D20" s="5">
        <f>(3+2+2+3+3)</f>
        <v>13</v>
      </c>
      <c r="E20" s="6">
        <f t="shared" si="15"/>
        <v>2.6</v>
      </c>
      <c r="F20" s="5">
        <f t="shared" ref="F20:F24" si="26">(4+4+4+4+4+4)</f>
        <v>24</v>
      </c>
      <c r="G20" s="6">
        <f t="shared" si="16"/>
        <v>4</v>
      </c>
      <c r="H20" s="5">
        <f t="shared" ref="H20:H22" si="27">(4+4+4+4+4)</f>
        <v>20</v>
      </c>
      <c r="I20" s="6">
        <f t="shared" si="17"/>
        <v>4</v>
      </c>
      <c r="J20" s="5">
        <f>(3+2+2+1+2+3)</f>
        <v>13</v>
      </c>
      <c r="K20" s="6">
        <f t="shared" si="18"/>
        <v>2.166666667</v>
      </c>
      <c r="L20" s="5">
        <f>(3+4+3+3+3)</f>
        <v>16</v>
      </c>
      <c r="M20" s="6">
        <f t="shared" si="19"/>
        <v>3.2</v>
      </c>
      <c r="N20" s="5">
        <f t="shared" ref="N20:N22" si="28">(4+4+4+4+4)</f>
        <v>20</v>
      </c>
      <c r="O20" s="6">
        <f t="shared" si="20"/>
        <v>4</v>
      </c>
      <c r="P20" s="5">
        <f>(3+2+2+1+1)</f>
        <v>9</v>
      </c>
      <c r="Q20" s="6">
        <f t="shared" si="21"/>
        <v>1.8</v>
      </c>
      <c r="R20" s="5">
        <f>(3+2+3+2+2+3)</f>
        <v>15</v>
      </c>
      <c r="S20" s="6">
        <f t="shared" si="22"/>
        <v>2.5</v>
      </c>
    </row>
    <row r="21">
      <c r="A21" s="4" t="s">
        <v>30</v>
      </c>
      <c r="B21" s="6">
        <f>(2+1+1+1+3)</f>
        <v>8</v>
      </c>
      <c r="C21" s="5">
        <f t="shared" si="14"/>
        <v>1.6</v>
      </c>
      <c r="D21" s="5">
        <f>(2+1+1+1+3)</f>
        <v>8</v>
      </c>
      <c r="E21" s="6">
        <f t="shared" si="15"/>
        <v>1.6</v>
      </c>
      <c r="F21" s="5">
        <f t="shared" si="26"/>
        <v>24</v>
      </c>
      <c r="G21" s="6">
        <f t="shared" si="16"/>
        <v>4</v>
      </c>
      <c r="H21" s="5">
        <f t="shared" si="27"/>
        <v>20</v>
      </c>
      <c r="I21" s="6">
        <f t="shared" si="17"/>
        <v>4</v>
      </c>
      <c r="J21" s="5">
        <f>(2+1+1+1+1+3)</f>
        <v>9</v>
      </c>
      <c r="K21" s="6">
        <f t="shared" si="18"/>
        <v>1.5</v>
      </c>
      <c r="L21" s="5">
        <f t="shared" ref="L21:L22" si="29">(3+3+3+3+3)</f>
        <v>15</v>
      </c>
      <c r="M21" s="6">
        <f t="shared" si="19"/>
        <v>3</v>
      </c>
      <c r="N21" s="5">
        <f t="shared" si="28"/>
        <v>20</v>
      </c>
      <c r="O21" s="6">
        <f t="shared" si="20"/>
        <v>4</v>
      </c>
      <c r="P21" s="5">
        <f>(2+1+1+1+1)</f>
        <v>6</v>
      </c>
      <c r="Q21" s="6">
        <f t="shared" si="21"/>
        <v>1.2</v>
      </c>
      <c r="R21" s="5">
        <f>(2+1+1+1+1+3)</f>
        <v>9</v>
      </c>
      <c r="S21" s="6">
        <f t="shared" si="22"/>
        <v>1.5</v>
      </c>
    </row>
    <row r="22">
      <c r="A22" s="4" t="s">
        <v>31</v>
      </c>
      <c r="B22" s="6">
        <f>(2+2+1+1+1)</f>
        <v>7</v>
      </c>
      <c r="C22" s="5">
        <f t="shared" si="14"/>
        <v>1.4</v>
      </c>
      <c r="D22" s="5">
        <f>(1+2+1+1+1)</f>
        <v>6</v>
      </c>
      <c r="E22" s="6">
        <f t="shared" si="15"/>
        <v>1.2</v>
      </c>
      <c r="F22" s="5">
        <f t="shared" si="26"/>
        <v>24</v>
      </c>
      <c r="G22" s="6">
        <f t="shared" si="16"/>
        <v>4</v>
      </c>
      <c r="H22" s="5">
        <f t="shared" si="27"/>
        <v>20</v>
      </c>
      <c r="I22" s="6">
        <f t="shared" si="17"/>
        <v>4</v>
      </c>
      <c r="J22" s="5">
        <f>(1+2+2+0+1+1)</f>
        <v>7</v>
      </c>
      <c r="K22" s="6">
        <f t="shared" si="18"/>
        <v>1.166666667</v>
      </c>
      <c r="L22" s="5">
        <f t="shared" si="29"/>
        <v>15</v>
      </c>
      <c r="M22" s="6">
        <f t="shared" si="19"/>
        <v>3</v>
      </c>
      <c r="N22" s="5">
        <f t="shared" si="28"/>
        <v>20</v>
      </c>
      <c r="O22" s="6">
        <f t="shared" si="20"/>
        <v>4</v>
      </c>
      <c r="P22" s="5">
        <f>(1+2+2+0+1)</f>
        <v>6</v>
      </c>
      <c r="Q22" s="6">
        <f t="shared" si="21"/>
        <v>1.2</v>
      </c>
      <c r="R22" s="5">
        <f>(1+2+2+1+1+1)</f>
        <v>8</v>
      </c>
      <c r="S22" s="6">
        <f t="shared" si="22"/>
        <v>1.333333333</v>
      </c>
    </row>
    <row r="23">
      <c r="A23" s="4" t="s">
        <v>32</v>
      </c>
      <c r="B23" s="5">
        <f>(2+1+0+1+3)</f>
        <v>7</v>
      </c>
      <c r="C23" s="5">
        <f t="shared" si="14"/>
        <v>1.4</v>
      </c>
      <c r="D23" s="5">
        <f>(2+1+0+1+3)</f>
        <v>7</v>
      </c>
      <c r="E23" s="6">
        <f t="shared" si="15"/>
        <v>1.4</v>
      </c>
      <c r="F23" s="5">
        <f t="shared" si="26"/>
        <v>24</v>
      </c>
      <c r="G23" s="6">
        <f t="shared" si="16"/>
        <v>4</v>
      </c>
      <c r="H23" s="5">
        <f>(4+3+3+4+4)</f>
        <v>18</v>
      </c>
      <c r="I23" s="6">
        <f t="shared" si="17"/>
        <v>3.6</v>
      </c>
      <c r="J23" s="5">
        <f>(2+1+1+0+1+2)</f>
        <v>7</v>
      </c>
      <c r="K23" s="6">
        <f t="shared" si="18"/>
        <v>1.166666667</v>
      </c>
      <c r="L23" s="5">
        <f>(3+3+2+3+3)</f>
        <v>14</v>
      </c>
      <c r="M23" s="6">
        <f t="shared" si="19"/>
        <v>2.8</v>
      </c>
      <c r="N23" s="5">
        <f>(4+4+3+4+4)</f>
        <v>19</v>
      </c>
      <c r="O23" s="6">
        <f t="shared" si="20"/>
        <v>3.8</v>
      </c>
      <c r="P23" s="5">
        <f>(2+1+1+0+1)</f>
        <v>5</v>
      </c>
      <c r="Q23" s="6">
        <f t="shared" si="21"/>
        <v>1</v>
      </c>
      <c r="R23" s="5">
        <f>(2+1+1+0+1+3)</f>
        <v>8</v>
      </c>
      <c r="S23" s="6">
        <f t="shared" si="22"/>
        <v>1.333333333</v>
      </c>
    </row>
    <row r="24">
      <c r="A24" s="4" t="s">
        <v>33</v>
      </c>
      <c r="B24" s="5">
        <f>(2+2+2+1+1)</f>
        <v>8</v>
      </c>
      <c r="C24" s="5">
        <f t="shared" si="14"/>
        <v>1.6</v>
      </c>
      <c r="D24" s="5">
        <f>(2+2+2+1+1)</f>
        <v>8</v>
      </c>
      <c r="E24" s="6">
        <f t="shared" si="15"/>
        <v>1.6</v>
      </c>
      <c r="F24" s="5">
        <f t="shared" si="26"/>
        <v>24</v>
      </c>
      <c r="G24" s="6">
        <f t="shared" si="16"/>
        <v>4</v>
      </c>
      <c r="H24" s="5">
        <f>(4+4+4+4+3)</f>
        <v>19</v>
      </c>
      <c r="I24" s="6">
        <f t="shared" si="17"/>
        <v>3.8</v>
      </c>
      <c r="J24" s="5">
        <f>(1+2+2+1+1+1)</f>
        <v>8</v>
      </c>
      <c r="K24" s="6">
        <f t="shared" si="18"/>
        <v>1.333333333</v>
      </c>
      <c r="L24" s="5">
        <f>(2+2+3+3+1)</f>
        <v>11</v>
      </c>
      <c r="M24" s="6">
        <f t="shared" si="19"/>
        <v>2.2</v>
      </c>
      <c r="N24" s="5">
        <f>(4+4+4+4+2)</f>
        <v>18</v>
      </c>
      <c r="O24" s="6">
        <f t="shared" si="20"/>
        <v>3.6</v>
      </c>
      <c r="P24" s="5">
        <f>(1+2+2+1+1)</f>
        <v>7</v>
      </c>
      <c r="Q24" s="6">
        <f t="shared" si="21"/>
        <v>1.4</v>
      </c>
      <c r="R24" s="5">
        <f>(1+2+2+2+1+1)</f>
        <v>9</v>
      </c>
      <c r="S24" s="6">
        <f t="shared" si="22"/>
        <v>1.5</v>
      </c>
    </row>
    <row r="25">
      <c r="A25" s="4" t="s">
        <v>34</v>
      </c>
      <c r="B25" s="5">
        <f>(2+2+1+2+2)</f>
        <v>9</v>
      </c>
      <c r="C25" s="5">
        <f t="shared" si="14"/>
        <v>1.8</v>
      </c>
      <c r="D25" s="5">
        <f>(2+2+1+2+2)</f>
        <v>9</v>
      </c>
      <c r="E25" s="6">
        <f t="shared" si="15"/>
        <v>1.8</v>
      </c>
      <c r="F25" s="5">
        <f>(4+4+4+4+4+3)</f>
        <v>23</v>
      </c>
      <c r="G25" s="6">
        <f t="shared" si="16"/>
        <v>3.833333333</v>
      </c>
      <c r="H25" s="5">
        <f>(4+4+4+4+4)</f>
        <v>20</v>
      </c>
      <c r="I25" s="6">
        <f t="shared" si="17"/>
        <v>4</v>
      </c>
      <c r="J25" s="5">
        <f>(2+2+2+0+1+2)</f>
        <v>9</v>
      </c>
      <c r="K25" s="6">
        <f t="shared" si="18"/>
        <v>1.5</v>
      </c>
      <c r="L25" s="5">
        <f>(3+3+2+3+2)</f>
        <v>13</v>
      </c>
      <c r="M25" s="6">
        <f t="shared" si="19"/>
        <v>2.6</v>
      </c>
      <c r="N25" s="5">
        <f>(4+4+4+4+4)</f>
        <v>20</v>
      </c>
      <c r="O25" s="6">
        <f t="shared" si="20"/>
        <v>4</v>
      </c>
      <c r="P25" s="5">
        <f>(2+2+2+0+1)</f>
        <v>7</v>
      </c>
      <c r="Q25" s="6">
        <f t="shared" si="21"/>
        <v>1.4</v>
      </c>
      <c r="R25" s="5">
        <f>(2+2+2+1+2+2)</f>
        <v>11</v>
      </c>
      <c r="S25" s="6">
        <f t="shared" si="22"/>
        <v>1.833333333</v>
      </c>
    </row>
    <row r="26">
      <c r="A26" s="4" t="s">
        <v>35</v>
      </c>
      <c r="B26" s="5">
        <f>(1+0+0+1+0)</f>
        <v>2</v>
      </c>
      <c r="C26" s="5">
        <f t="shared" si="14"/>
        <v>0.4</v>
      </c>
      <c r="D26" s="5">
        <f>(1+0+0+1+0)</f>
        <v>2</v>
      </c>
      <c r="E26" s="6">
        <f t="shared" si="15"/>
        <v>0.4</v>
      </c>
      <c r="F26" s="5">
        <f>(4+2+2+2+3+1)</f>
        <v>14</v>
      </c>
      <c r="G26" s="6">
        <f t="shared" si="16"/>
        <v>2.333333333</v>
      </c>
      <c r="H26" s="5">
        <f>(4+2+2+3+2)</f>
        <v>13</v>
      </c>
      <c r="I26" s="6">
        <f t="shared" si="17"/>
        <v>2.6</v>
      </c>
      <c r="J26" s="5">
        <f>(2+0+0+0+1+0)</f>
        <v>3</v>
      </c>
      <c r="K26" s="6">
        <f t="shared" si="18"/>
        <v>0.5</v>
      </c>
      <c r="L26" s="5">
        <f>(0+0+0+1+3)</f>
        <v>4</v>
      </c>
      <c r="M26" s="6">
        <f t="shared" si="19"/>
        <v>0.8</v>
      </c>
      <c r="N26" s="5">
        <f>(4+2+2+2+3)</f>
        <v>13</v>
      </c>
      <c r="O26" s="6">
        <f t="shared" si="20"/>
        <v>2.6</v>
      </c>
      <c r="P26" s="5">
        <f>(2+2+0+0+1)</f>
        <v>5</v>
      </c>
      <c r="Q26" s="6">
        <f t="shared" si="21"/>
        <v>1</v>
      </c>
      <c r="R26" s="5">
        <f>(2+2+0+0+1+0)</f>
        <v>5</v>
      </c>
      <c r="S26" s="6">
        <f t="shared" si="22"/>
        <v>0.8333333333</v>
      </c>
    </row>
    <row r="27">
      <c r="A27" s="4" t="s">
        <v>36</v>
      </c>
      <c r="B27" s="5">
        <f>(0+0+0+1+1)</f>
        <v>2</v>
      </c>
      <c r="C27" s="5">
        <f t="shared" si="14"/>
        <v>0.4</v>
      </c>
      <c r="D27" s="5">
        <f>(0+0+0+1+1)</f>
        <v>2</v>
      </c>
      <c r="E27" s="6">
        <f t="shared" si="15"/>
        <v>0.4</v>
      </c>
      <c r="F27" s="5">
        <f>(0+0+0+0+1+1)</f>
        <v>2</v>
      </c>
      <c r="G27" s="6">
        <f t="shared" si="16"/>
        <v>0.3333333333</v>
      </c>
      <c r="H27" s="5">
        <f>(0+0+0+1+1)</f>
        <v>2</v>
      </c>
      <c r="I27" s="6">
        <f t="shared" si="17"/>
        <v>0.4</v>
      </c>
      <c r="J27" s="5">
        <f>(0+0+0+0+0+1+1)</f>
        <v>2</v>
      </c>
      <c r="K27" s="6">
        <f t="shared" si="18"/>
        <v>0.3333333333</v>
      </c>
      <c r="L27" s="5">
        <f>(0+0+0+1+1)</f>
        <v>2</v>
      </c>
      <c r="M27" s="6">
        <f t="shared" si="19"/>
        <v>0.4</v>
      </c>
      <c r="N27" s="5">
        <f>(0+0+0+0+1)</f>
        <v>1</v>
      </c>
      <c r="O27" s="6">
        <f t="shared" si="20"/>
        <v>0.2</v>
      </c>
      <c r="P27" s="5">
        <f>(0+0+0+0+1)</f>
        <v>1</v>
      </c>
      <c r="Q27" s="6">
        <f t="shared" si="21"/>
        <v>0.2</v>
      </c>
      <c r="R27" s="5">
        <f>(0+0+0+0+1+1)</f>
        <v>2</v>
      </c>
      <c r="S27" s="6">
        <f t="shared" si="22"/>
        <v>0.3333333333</v>
      </c>
    </row>
    <row r="28">
      <c r="A28" s="4" t="s">
        <v>37</v>
      </c>
      <c r="B28" s="5">
        <f>(2+2+1+1+1)</f>
        <v>7</v>
      </c>
      <c r="C28" s="5">
        <f t="shared" si="14"/>
        <v>1.4</v>
      </c>
      <c r="D28" s="5">
        <f>(2+2+1+1+1)</f>
        <v>7</v>
      </c>
      <c r="E28" s="6">
        <f t="shared" si="15"/>
        <v>1.4</v>
      </c>
      <c r="F28" s="5">
        <f>(4+4+4+3+3+3)</f>
        <v>21</v>
      </c>
      <c r="G28" s="6">
        <f t="shared" si="16"/>
        <v>3.5</v>
      </c>
      <c r="H28" s="5">
        <f>(3+3+4+3+3)</f>
        <v>16</v>
      </c>
      <c r="I28" s="6">
        <f t="shared" si="17"/>
        <v>3.2</v>
      </c>
      <c r="J28" s="5">
        <f>(2+2+2+0+1+1)</f>
        <v>8</v>
      </c>
      <c r="K28" s="6">
        <f t="shared" si="18"/>
        <v>1.333333333</v>
      </c>
      <c r="L28" s="5">
        <f>(3+3+3+3+1)</f>
        <v>13</v>
      </c>
      <c r="M28" s="6">
        <f t="shared" si="19"/>
        <v>2.6</v>
      </c>
      <c r="N28" s="5">
        <f>(3+4+4+4+3)</f>
        <v>18</v>
      </c>
      <c r="O28" s="6">
        <f t="shared" si="20"/>
        <v>3.6</v>
      </c>
      <c r="P28" s="5">
        <f>(2+2+2+0+1)</f>
        <v>7</v>
      </c>
      <c r="Q28" s="6">
        <f t="shared" si="21"/>
        <v>1.4</v>
      </c>
      <c r="R28" s="5">
        <f>(2+2+2+1+1+1)</f>
        <v>9</v>
      </c>
      <c r="S28" s="6">
        <f t="shared" si="22"/>
        <v>1.5</v>
      </c>
    </row>
    <row r="29">
      <c r="A29" s="4" t="s">
        <v>38</v>
      </c>
      <c r="B29" s="5">
        <f>(0+0+1+1)</f>
        <v>2</v>
      </c>
      <c r="C29" s="5">
        <f t="shared" si="14"/>
        <v>0.4</v>
      </c>
      <c r="D29" s="5">
        <f>(1+1+1+1)</f>
        <v>4</v>
      </c>
      <c r="E29" s="6">
        <f t="shared" si="15"/>
        <v>0.8</v>
      </c>
      <c r="F29" s="5">
        <f>(3+3+2+3+4)</f>
        <v>15</v>
      </c>
      <c r="G29" s="6">
        <f t="shared" si="16"/>
        <v>2.5</v>
      </c>
      <c r="H29" s="5">
        <f>(4+2+3+4+4)</f>
        <v>17</v>
      </c>
      <c r="I29" s="6">
        <f t="shared" si="17"/>
        <v>3.4</v>
      </c>
      <c r="J29" s="5">
        <f>(1+0+1+1)</f>
        <v>3</v>
      </c>
      <c r="K29" s="6">
        <f t="shared" si="18"/>
        <v>0.5</v>
      </c>
      <c r="L29" s="5">
        <f>(2+2+2+3)</f>
        <v>9</v>
      </c>
      <c r="M29" s="6">
        <f t="shared" si="19"/>
        <v>1.8</v>
      </c>
      <c r="N29" s="5">
        <f>(4+4+4+4+4)</f>
        <v>20</v>
      </c>
      <c r="O29" s="6">
        <f t="shared" si="20"/>
        <v>4</v>
      </c>
      <c r="P29" s="5">
        <f>(1+0+1+1)</f>
        <v>3</v>
      </c>
      <c r="Q29" s="6">
        <f t="shared" si="21"/>
        <v>0.6</v>
      </c>
      <c r="R29" s="5">
        <f>(1+1+1+1+1)</f>
        <v>5</v>
      </c>
      <c r="S29" s="6">
        <f t="shared" si="22"/>
        <v>0.8333333333</v>
      </c>
    </row>
    <row r="30">
      <c r="A30" s="7" t="s">
        <v>39</v>
      </c>
      <c r="C30">
        <f>(SUM(C15:C29)/(4*15))*60</f>
        <v>24.4</v>
      </c>
      <c r="E30" s="10">
        <f>(SUM(E15:E29)/(4*15))*60</f>
        <v>23.6</v>
      </c>
      <c r="G30" s="10">
        <f>(SUM(G15:G29)/(4*15))*60</f>
        <v>49</v>
      </c>
      <c r="I30" s="10">
        <f>(SUM(I15:I29)/(4*15))*60</f>
        <v>49</v>
      </c>
      <c r="K30">
        <f>(SUM(K15:K29)/(4*15))*60</f>
        <v>20</v>
      </c>
      <c r="M30" s="10">
        <f>(SUM(M15:M29)/(4*15))*60</f>
        <v>39.4</v>
      </c>
      <c r="O30">
        <f>(SUM(O15:O29)/(4*15))*60</f>
        <v>52.4</v>
      </c>
      <c r="Q30">
        <f>(SUM(Q15:Q29)/(4*15))*60</f>
        <v>20</v>
      </c>
      <c r="S30">
        <f>(SUM(S15:S29)/(4*15))*60</f>
        <v>23.83333333</v>
      </c>
    </row>
    <row r="34">
      <c r="A34" s="16" t="s">
        <v>40</v>
      </c>
      <c r="B34" s="17"/>
      <c r="C34" s="18" t="s">
        <v>41</v>
      </c>
      <c r="D34" s="17"/>
      <c r="E34" s="19"/>
      <c r="F34" s="20" t="s">
        <v>42</v>
      </c>
      <c r="G34" s="19"/>
      <c r="H34" s="17"/>
      <c r="I34" s="18" t="s">
        <v>43</v>
      </c>
      <c r="J34" s="17"/>
      <c r="K34" s="19"/>
      <c r="L34" s="20" t="s">
        <v>44</v>
      </c>
      <c r="M34" s="19"/>
      <c r="N34" s="17"/>
      <c r="O34" s="18" t="s">
        <v>45</v>
      </c>
      <c r="P34" s="17"/>
      <c r="Q34" s="19"/>
      <c r="R34" s="20" t="s">
        <v>46</v>
      </c>
      <c r="S34" s="19"/>
      <c r="T34" s="17"/>
      <c r="U34" s="18" t="s">
        <v>47</v>
      </c>
      <c r="V34" s="17"/>
      <c r="W34" s="19"/>
      <c r="X34" s="20" t="s">
        <v>48</v>
      </c>
      <c r="Y34" s="19"/>
      <c r="Z34" s="17"/>
      <c r="AA34" s="18" t="s">
        <v>49</v>
      </c>
      <c r="AB34" s="17"/>
      <c r="AC34" s="9"/>
      <c r="AD34" s="9"/>
      <c r="AE34" s="9"/>
    </row>
    <row r="35">
      <c r="A35" s="16" t="s">
        <v>50</v>
      </c>
      <c r="B35" s="18" t="s">
        <v>51</v>
      </c>
      <c r="C35" s="18" t="s">
        <v>52</v>
      </c>
      <c r="D35" s="18" t="s">
        <v>53</v>
      </c>
      <c r="E35" s="20" t="s">
        <v>51</v>
      </c>
      <c r="F35" s="20" t="s">
        <v>52</v>
      </c>
      <c r="G35" s="20" t="s">
        <v>53</v>
      </c>
      <c r="H35" s="18" t="s">
        <v>51</v>
      </c>
      <c r="I35" s="18" t="s">
        <v>52</v>
      </c>
      <c r="J35" s="18" t="s">
        <v>53</v>
      </c>
      <c r="K35" s="20" t="s">
        <v>51</v>
      </c>
      <c r="L35" s="20" t="s">
        <v>52</v>
      </c>
      <c r="M35" s="20" t="s">
        <v>53</v>
      </c>
      <c r="N35" s="18" t="s">
        <v>51</v>
      </c>
      <c r="O35" s="18" t="s">
        <v>52</v>
      </c>
      <c r="P35" s="18" t="s">
        <v>53</v>
      </c>
      <c r="Q35" s="20" t="s">
        <v>51</v>
      </c>
      <c r="R35" s="20" t="s">
        <v>52</v>
      </c>
      <c r="S35" s="20" t="s">
        <v>53</v>
      </c>
      <c r="T35" s="18" t="s">
        <v>51</v>
      </c>
      <c r="U35" s="18" t="s">
        <v>52</v>
      </c>
      <c r="V35" s="18" t="s">
        <v>53</v>
      </c>
      <c r="W35" s="20" t="s">
        <v>51</v>
      </c>
      <c r="X35" s="20" t="s">
        <v>52</v>
      </c>
      <c r="Y35" s="20" t="s">
        <v>53</v>
      </c>
      <c r="Z35" s="18" t="s">
        <v>51</v>
      </c>
      <c r="AA35" s="18" t="s">
        <v>52</v>
      </c>
      <c r="AB35" s="18" t="s">
        <v>53</v>
      </c>
      <c r="AC35" s="21"/>
      <c r="AD35" s="21"/>
      <c r="AE35" s="21"/>
    </row>
    <row r="36">
      <c r="A36" s="1" t="s">
        <v>54</v>
      </c>
      <c r="K36" s="1">
        <v>10.0</v>
      </c>
      <c r="L36" s="1">
        <v>10.0</v>
      </c>
      <c r="M36" s="1">
        <v>10.0</v>
      </c>
    </row>
    <row r="37">
      <c r="A37" s="1" t="s">
        <v>55</v>
      </c>
      <c r="K37" s="1">
        <v>10.0</v>
      </c>
      <c r="L37" s="1">
        <v>10.0</v>
      </c>
      <c r="M37" s="1">
        <v>10.0</v>
      </c>
    </row>
    <row r="38">
      <c r="A38" s="1" t="s">
        <v>56</v>
      </c>
      <c r="K38" s="1">
        <v>10.0</v>
      </c>
      <c r="L38" s="1">
        <v>10.0</v>
      </c>
      <c r="M38" s="1">
        <v>10.0</v>
      </c>
    </row>
    <row r="39">
      <c r="A39" s="1" t="s">
        <v>57</v>
      </c>
      <c r="K39" s="1">
        <v>10.0</v>
      </c>
      <c r="L39" s="1">
        <v>10.0</v>
      </c>
      <c r="M39" s="1">
        <v>10.0</v>
      </c>
    </row>
    <row r="40">
      <c r="A40" s="1" t="s">
        <v>58</v>
      </c>
      <c r="K40" s="1">
        <v>10.0</v>
      </c>
      <c r="L40" s="1">
        <v>10.0</v>
      </c>
      <c r="M40" s="1">
        <v>10.0</v>
      </c>
    </row>
    <row r="41">
      <c r="A41" s="1" t="s">
        <v>59</v>
      </c>
      <c r="K41" s="1">
        <v>10.0</v>
      </c>
      <c r="L41" s="1">
        <v>10.0</v>
      </c>
      <c r="M41" s="1">
        <v>10.0</v>
      </c>
    </row>
    <row r="42">
      <c r="A42" s="1" t="s">
        <v>60</v>
      </c>
      <c r="K42" s="1">
        <v>10.0</v>
      </c>
      <c r="L42" s="1">
        <v>10.0</v>
      </c>
      <c r="M42" s="1">
        <v>10.0</v>
      </c>
    </row>
    <row r="43">
      <c r="K43" s="1">
        <v>10.0</v>
      </c>
      <c r="L43" s="1">
        <v>10.0</v>
      </c>
      <c r="M43" s="1">
        <v>10.0</v>
      </c>
    </row>
    <row r="44">
      <c r="A44" s="16" t="s">
        <v>61</v>
      </c>
      <c r="B44" s="17"/>
      <c r="C44" s="18" t="s">
        <v>41</v>
      </c>
      <c r="D44" s="19"/>
      <c r="E44" s="20" t="s">
        <v>42</v>
      </c>
      <c r="F44" s="17"/>
      <c r="G44" s="18" t="s">
        <v>43</v>
      </c>
      <c r="H44" s="19"/>
      <c r="I44" s="20" t="s">
        <v>44</v>
      </c>
      <c r="J44" s="17"/>
      <c r="K44" s="18" t="s">
        <v>45</v>
      </c>
      <c r="L44" s="19"/>
      <c r="M44" s="20" t="s">
        <v>46</v>
      </c>
      <c r="N44" s="17"/>
      <c r="O44" s="18" t="s">
        <v>47</v>
      </c>
      <c r="P44" s="19"/>
      <c r="Q44" s="20" t="s">
        <v>48</v>
      </c>
      <c r="R44" s="17"/>
      <c r="S44" s="18" t="s">
        <v>49</v>
      </c>
      <c r="V44" s="22"/>
    </row>
    <row r="45">
      <c r="A45" s="1"/>
      <c r="B45" s="18" t="s">
        <v>62</v>
      </c>
      <c r="C45" s="18" t="s">
        <v>63</v>
      </c>
      <c r="D45" s="20" t="s">
        <v>62</v>
      </c>
      <c r="E45" s="20" t="s">
        <v>63</v>
      </c>
      <c r="F45" s="18" t="s">
        <v>62</v>
      </c>
      <c r="G45" s="18" t="s">
        <v>63</v>
      </c>
      <c r="H45" s="20" t="s">
        <v>62</v>
      </c>
      <c r="I45" s="20" t="s">
        <v>63</v>
      </c>
      <c r="J45" s="18" t="s">
        <v>62</v>
      </c>
      <c r="K45" s="18" t="s">
        <v>63</v>
      </c>
      <c r="L45" s="20" t="s">
        <v>62</v>
      </c>
      <c r="M45" s="20" t="s">
        <v>63</v>
      </c>
      <c r="N45" s="18" t="s">
        <v>62</v>
      </c>
      <c r="O45" s="18" t="s">
        <v>63</v>
      </c>
      <c r="P45" s="20" t="s">
        <v>62</v>
      </c>
      <c r="Q45" s="20" t="s">
        <v>63</v>
      </c>
      <c r="R45" s="18" t="s">
        <v>62</v>
      </c>
      <c r="S45" s="18" t="s">
        <v>63</v>
      </c>
      <c r="V45" s="23"/>
    </row>
    <row r="46">
      <c r="A46" s="16" t="s">
        <v>64</v>
      </c>
    </row>
    <row r="47">
      <c r="A47" s="1" t="s">
        <v>54</v>
      </c>
    </row>
    <row r="48">
      <c r="A48" s="1" t="s">
        <v>55</v>
      </c>
    </row>
    <row r="49">
      <c r="A49" s="1" t="s">
        <v>56</v>
      </c>
    </row>
    <row r="50">
      <c r="A50" s="1" t="s">
        <v>57</v>
      </c>
    </row>
    <row r="51">
      <c r="A51" s="1" t="s">
        <v>58</v>
      </c>
    </row>
    <row r="52">
      <c r="A52" s="1" t="s">
        <v>59</v>
      </c>
    </row>
    <row r="53">
      <c r="A53" s="1" t="s">
        <v>60</v>
      </c>
    </row>
  </sheetData>
  <conditionalFormatting sqref="C4:C29 E4:E29 G4:G29 I4:I29 K4:K29 M4:M29 Q4:Q29 S4:S29">
    <cfRule type="cellIs" dxfId="0" priority="1" operator="greaterThan">
      <formula>2.5</formula>
    </cfRule>
  </conditionalFormatting>
  <conditionalFormatting sqref="B1:B29 C1:C12 D1:Q29 R13:R14 C15:C29">
    <cfRule type="cellIs" dxfId="1" priority="2" operator="between">
      <formula>2</formula>
      <formula>2.5</formula>
    </cfRule>
  </conditionalFormatting>
  <conditionalFormatting sqref="B1:B29 C1:C12 D1:Q29 R13:R14 C15:C29">
    <cfRule type="cellIs" dxfId="2" priority="3" operator="lessThan">
      <formula>2.5</formula>
    </cfRule>
  </conditionalFormatting>
  <conditionalFormatting sqref="S4:S29">
    <cfRule type="cellIs" dxfId="0" priority="4" operator="greaterThanOrEqual">
      <formula>2.5</formula>
    </cfRule>
  </conditionalFormatting>
  <conditionalFormatting sqref="S4:S29">
    <cfRule type="cellIs" dxfId="1" priority="5" operator="between">
      <formula>2</formula>
      <formula>2.5</formula>
    </cfRule>
  </conditionalFormatting>
  <conditionalFormatting sqref="S4:S29">
    <cfRule type="cellIs" dxfId="2" priority="6" operator="lessThan">
      <formula>2</formula>
    </cfRule>
  </conditionalFormatting>
  <conditionalFormatting sqref="O4:O20">
    <cfRule type="cellIs" dxfId="0" priority="7" operator="greaterThan">
      <formula>2.5</formula>
    </cfRule>
  </conditionalFormatting>
  <conditionalFormatting sqref="O21:O26">
    <cfRule type="cellIs" dxfId="0" priority="8" operator="greaterThan">
      <formula>2.5</formula>
    </cfRule>
  </conditionalFormatting>
  <conditionalFormatting sqref="O28:O29">
    <cfRule type="cellIs" dxfId="0" priority="9" operator="greaterThan">
      <formula>2.5</formula>
    </cfRule>
  </conditionalFormatting>
  <drawing r:id="rId1"/>
</worksheet>
</file>