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BHI\Downloads\"/>
    </mc:Choice>
  </mc:AlternateContent>
  <xr:revisionPtr revIDLastSave="0" documentId="13_ncr:1_{1E855E66-0707-447E-B05C-FE3B2A65B8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L MASTER SHEET CONTROLS" sheetId="1" r:id="rId1"/>
  </sheets>
  <definedNames>
    <definedName name="_xlnm._FilterDatabase" localSheetId="0" hidden="1">'FINAL MASTER SHEET CONTROLS'!$A$1:$Q$617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7" i="1" l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J613" i="1" l="1"/>
  <c r="J611" i="1"/>
  <c r="J610" i="1"/>
  <c r="J590" i="1"/>
  <c r="J586" i="1"/>
  <c r="J578" i="1"/>
  <c r="J566" i="1"/>
  <c r="J556" i="1"/>
  <c r="J548" i="1"/>
  <c r="J538" i="1"/>
  <c r="J532" i="1"/>
  <c r="J524" i="1"/>
  <c r="J516" i="1"/>
  <c r="J509" i="1"/>
  <c r="J506" i="1"/>
  <c r="J504" i="1"/>
  <c r="J500" i="1"/>
  <c r="J492" i="1"/>
  <c r="J483" i="1"/>
  <c r="J482" i="1"/>
  <c r="J474" i="1"/>
  <c r="J456" i="1"/>
  <c r="J452" i="1"/>
  <c r="J450" i="1"/>
  <c r="J436" i="1"/>
  <c r="J429" i="1"/>
  <c r="J424" i="1"/>
  <c r="J420" i="1"/>
  <c r="J403" i="1"/>
  <c r="J372" i="1"/>
  <c r="J292" i="1"/>
  <c r="J266" i="1"/>
  <c r="J236" i="1"/>
  <c r="J211" i="1"/>
  <c r="J180" i="1"/>
  <c r="J116" i="1"/>
  <c r="J93" i="1"/>
  <c r="J139" i="1" l="1"/>
  <c r="L139" i="1" s="1"/>
  <c r="J29" i="1"/>
  <c r="L29" i="1" s="1"/>
  <c r="J141" i="1"/>
  <c r="L141" i="1" s="1"/>
  <c r="J181" i="1"/>
  <c r="L181" i="1" s="1"/>
  <c r="J286" i="1"/>
  <c r="L286" i="1" s="1"/>
  <c r="J382" i="1"/>
  <c r="L382" i="1" s="1"/>
  <c r="J390" i="1"/>
  <c r="L390" i="1" s="1"/>
  <c r="J431" i="1"/>
  <c r="L431" i="1" s="1"/>
  <c r="J439" i="1"/>
  <c r="L439" i="1" s="1"/>
  <c r="J463" i="1"/>
  <c r="L463" i="1" s="1"/>
  <c r="J471" i="1"/>
  <c r="L471" i="1" s="1"/>
  <c r="J495" i="1"/>
  <c r="L495" i="1" s="1"/>
  <c r="J11" i="1"/>
  <c r="L11" i="1" s="1"/>
  <c r="J163" i="1"/>
  <c r="L163" i="1" s="1"/>
  <c r="J21" i="1"/>
  <c r="L21" i="1" s="1"/>
  <c r="J117" i="1"/>
  <c r="L117" i="1" s="1"/>
  <c r="J173" i="1"/>
  <c r="L173" i="1" s="1"/>
  <c r="J198" i="1"/>
  <c r="L198" i="1" s="1"/>
  <c r="J270" i="1"/>
  <c r="L270" i="1" s="1"/>
  <c r="J294" i="1"/>
  <c r="L294" i="1" s="1"/>
  <c r="J350" i="1"/>
  <c r="L350" i="1" s="1"/>
  <c r="J366" i="1"/>
  <c r="L366" i="1" s="1"/>
  <c r="J14" i="1"/>
  <c r="L14" i="1" s="1"/>
  <c r="J22" i="1"/>
  <c r="L22" i="1" s="1"/>
  <c r="J46" i="1"/>
  <c r="L46" i="1" s="1"/>
  <c r="J54" i="1"/>
  <c r="L54" i="1" s="1"/>
  <c r="J78" i="1"/>
  <c r="L78" i="1" s="1"/>
  <c r="J86" i="1"/>
  <c r="L86" i="1" s="1"/>
  <c r="J110" i="1"/>
  <c r="L110" i="1" s="1"/>
  <c r="J118" i="1"/>
  <c r="L118" i="1" s="1"/>
  <c r="J142" i="1"/>
  <c r="L142" i="1" s="1"/>
  <c r="J150" i="1"/>
  <c r="L150" i="1" s="1"/>
  <c r="J174" i="1"/>
  <c r="L174" i="1" s="1"/>
  <c r="J182" i="1"/>
  <c r="L182" i="1" s="1"/>
  <c r="J207" i="1"/>
  <c r="L207" i="1" s="1"/>
  <c r="J215" i="1"/>
  <c r="L215" i="1" s="1"/>
  <c r="J239" i="1"/>
  <c r="L239" i="1" s="1"/>
  <c r="J247" i="1"/>
  <c r="L247" i="1" s="1"/>
  <c r="J271" i="1"/>
  <c r="L271" i="1" s="1"/>
  <c r="J279" i="1"/>
  <c r="L279" i="1" s="1"/>
  <c r="J303" i="1"/>
  <c r="L303" i="1" s="1"/>
  <c r="J311" i="1"/>
  <c r="L311" i="1" s="1"/>
  <c r="J335" i="1"/>
  <c r="L335" i="1" s="1"/>
  <c r="J343" i="1"/>
  <c r="L343" i="1" s="1"/>
  <c r="J367" i="1"/>
  <c r="L367" i="1" s="1"/>
  <c r="J375" i="1"/>
  <c r="L375" i="1" s="1"/>
  <c r="J399" i="1"/>
  <c r="L399" i="1" s="1"/>
  <c r="J408" i="1"/>
  <c r="L408" i="1" s="1"/>
  <c r="J99" i="1"/>
  <c r="L99" i="1" s="1"/>
  <c r="J171" i="1"/>
  <c r="L171" i="1" s="1"/>
  <c r="J77" i="1"/>
  <c r="L77" i="1" s="1"/>
  <c r="J109" i="1"/>
  <c r="L109" i="1" s="1"/>
  <c r="J190" i="1"/>
  <c r="L190" i="1" s="1"/>
  <c r="J214" i="1"/>
  <c r="L214" i="1" s="1"/>
  <c r="J278" i="1"/>
  <c r="L278" i="1" s="1"/>
  <c r="J302" i="1"/>
  <c r="L302" i="1" s="1"/>
  <c r="J374" i="1"/>
  <c r="L374" i="1" s="1"/>
  <c r="J2" i="1"/>
  <c r="L2" i="1" s="1"/>
  <c r="J23" i="1"/>
  <c r="L23" i="1" s="1"/>
  <c r="J31" i="1"/>
  <c r="L31" i="1" s="1"/>
  <c r="J55" i="1"/>
  <c r="L55" i="1" s="1"/>
  <c r="J63" i="1"/>
  <c r="L63" i="1" s="1"/>
  <c r="J87" i="1"/>
  <c r="L87" i="1" s="1"/>
  <c r="J95" i="1"/>
  <c r="L95" i="1" s="1"/>
  <c r="J119" i="1"/>
  <c r="L119" i="1" s="1"/>
  <c r="J127" i="1"/>
  <c r="L127" i="1" s="1"/>
  <c r="J151" i="1"/>
  <c r="L151" i="1" s="1"/>
  <c r="J159" i="1"/>
  <c r="L159" i="1" s="1"/>
  <c r="J183" i="1"/>
  <c r="L183" i="1" s="1"/>
  <c r="J192" i="1"/>
  <c r="L192" i="1" s="1"/>
  <c r="J216" i="1"/>
  <c r="L216" i="1" s="1"/>
  <c r="J224" i="1"/>
  <c r="L224" i="1" s="1"/>
  <c r="J248" i="1"/>
  <c r="L248" i="1" s="1"/>
  <c r="J256" i="1"/>
  <c r="L256" i="1" s="1"/>
  <c r="J280" i="1"/>
  <c r="L280" i="1" s="1"/>
  <c r="J288" i="1"/>
  <c r="L288" i="1" s="1"/>
  <c r="J312" i="1"/>
  <c r="L312" i="1" s="1"/>
  <c r="J320" i="1"/>
  <c r="L320" i="1" s="1"/>
  <c r="J344" i="1"/>
  <c r="L344" i="1" s="1"/>
  <c r="J352" i="1"/>
  <c r="L352" i="1" s="1"/>
  <c r="J376" i="1"/>
  <c r="L376" i="1" s="1"/>
  <c r="J384" i="1"/>
  <c r="L384" i="1" s="1"/>
  <c r="J75" i="1"/>
  <c r="L75" i="1" s="1"/>
  <c r="J131" i="1"/>
  <c r="L131" i="1" s="1"/>
  <c r="J61" i="1"/>
  <c r="L61" i="1" s="1"/>
  <c r="J125" i="1"/>
  <c r="L125" i="1" s="1"/>
  <c r="J8" i="1"/>
  <c r="L8" i="1" s="1"/>
  <c r="J16" i="1"/>
  <c r="L16" i="1" s="1"/>
  <c r="J40" i="1"/>
  <c r="L40" i="1" s="1"/>
  <c r="J48" i="1"/>
  <c r="L48" i="1" s="1"/>
  <c r="J72" i="1"/>
  <c r="L72" i="1" s="1"/>
  <c r="J80" i="1"/>
  <c r="L80" i="1" s="1"/>
  <c r="J104" i="1"/>
  <c r="L104" i="1" s="1"/>
  <c r="J112" i="1"/>
  <c r="L112" i="1" s="1"/>
  <c r="J136" i="1"/>
  <c r="L136" i="1" s="1"/>
  <c r="J144" i="1"/>
  <c r="L144" i="1" s="1"/>
  <c r="J168" i="1"/>
  <c r="L168" i="1" s="1"/>
  <c r="J176" i="1"/>
  <c r="L176" i="1" s="1"/>
  <c r="J201" i="1"/>
  <c r="L201" i="1" s="1"/>
  <c r="J209" i="1"/>
  <c r="L209" i="1" s="1"/>
  <c r="J233" i="1"/>
  <c r="L233" i="1" s="1"/>
  <c r="J241" i="1"/>
  <c r="L241" i="1" s="1"/>
  <c r="J265" i="1"/>
  <c r="L265" i="1" s="1"/>
  <c r="J273" i="1"/>
  <c r="L273" i="1" s="1"/>
  <c r="J297" i="1"/>
  <c r="L297" i="1" s="1"/>
  <c r="J305" i="1"/>
  <c r="L305" i="1" s="1"/>
  <c r="J329" i="1"/>
  <c r="L329" i="1" s="1"/>
  <c r="J337" i="1"/>
  <c r="L337" i="1" s="1"/>
  <c r="J361" i="1"/>
  <c r="L361" i="1" s="1"/>
  <c r="J369" i="1"/>
  <c r="L369" i="1" s="1"/>
  <c r="J33" i="1"/>
  <c r="L33" i="1" s="1"/>
  <c r="J41" i="1"/>
  <c r="L41" i="1" s="1"/>
  <c r="J65" i="1"/>
  <c r="L65" i="1" s="1"/>
  <c r="J73" i="1"/>
  <c r="L73" i="1" s="1"/>
  <c r="J97" i="1"/>
  <c r="L97" i="1" s="1"/>
  <c r="J105" i="1"/>
  <c r="L105" i="1" s="1"/>
  <c r="J129" i="1"/>
  <c r="L129" i="1" s="1"/>
  <c r="J137" i="1"/>
  <c r="L137" i="1" s="1"/>
  <c r="J161" i="1"/>
  <c r="L161" i="1" s="1"/>
  <c r="J169" i="1"/>
  <c r="L169" i="1" s="1"/>
  <c r="J194" i="1"/>
  <c r="L194" i="1" s="1"/>
  <c r="J202" i="1"/>
  <c r="L202" i="1" s="1"/>
  <c r="J226" i="1"/>
  <c r="L226" i="1" s="1"/>
  <c r="J234" i="1"/>
  <c r="L234" i="1" s="1"/>
  <c r="J258" i="1"/>
  <c r="L258" i="1" s="1"/>
  <c r="L266" i="1"/>
  <c r="J282" i="1"/>
  <c r="L282" i="1" s="1"/>
  <c r="J290" i="1"/>
  <c r="L290" i="1" s="1"/>
  <c r="J314" i="1"/>
  <c r="L314" i="1" s="1"/>
  <c r="J322" i="1"/>
  <c r="L322" i="1" s="1"/>
  <c r="J362" i="1"/>
  <c r="L362" i="1" s="1"/>
  <c r="J370" i="1"/>
  <c r="L370" i="1" s="1"/>
  <c r="J394" i="1"/>
  <c r="L394" i="1" s="1"/>
  <c r="J402" i="1"/>
  <c r="L402" i="1" s="1"/>
  <c r="J427" i="1"/>
  <c r="L427" i="1" s="1"/>
  <c r="J435" i="1"/>
  <c r="L435" i="1" s="1"/>
  <c r="J459" i="1"/>
  <c r="L459" i="1" s="1"/>
  <c r="J467" i="1"/>
  <c r="L467" i="1" s="1"/>
  <c r="L483" i="1"/>
  <c r="J491" i="1"/>
  <c r="L491" i="1" s="1"/>
  <c r="J10" i="1"/>
  <c r="L10" i="1" s="1"/>
  <c r="J18" i="1"/>
  <c r="L18" i="1" s="1"/>
  <c r="J42" i="1"/>
  <c r="L42" i="1" s="1"/>
  <c r="J50" i="1"/>
  <c r="L50" i="1" s="1"/>
  <c r="J74" i="1"/>
  <c r="L74" i="1" s="1"/>
  <c r="J82" i="1"/>
  <c r="L82" i="1" s="1"/>
  <c r="J106" i="1"/>
  <c r="L106" i="1" s="1"/>
  <c r="J114" i="1"/>
  <c r="L114" i="1" s="1"/>
  <c r="J138" i="1"/>
  <c r="L138" i="1" s="1"/>
  <c r="J146" i="1"/>
  <c r="L146" i="1" s="1"/>
  <c r="J170" i="1"/>
  <c r="L170" i="1" s="1"/>
  <c r="J178" i="1"/>
  <c r="L178" i="1" s="1"/>
  <c r="J203" i="1"/>
  <c r="L203" i="1" s="1"/>
  <c r="L211" i="1"/>
  <c r="J219" i="1"/>
  <c r="L219" i="1" s="1"/>
  <c r="J227" i="1"/>
  <c r="L227" i="1" s="1"/>
  <c r="J251" i="1"/>
  <c r="L251" i="1" s="1"/>
  <c r="J259" i="1"/>
  <c r="L259" i="1" s="1"/>
  <c r="J283" i="1"/>
  <c r="L283" i="1" s="1"/>
  <c r="J291" i="1"/>
  <c r="L291" i="1" s="1"/>
  <c r="J315" i="1"/>
  <c r="L315" i="1" s="1"/>
  <c r="J323" i="1"/>
  <c r="L323" i="1" s="1"/>
  <c r="J347" i="1"/>
  <c r="L347" i="1" s="1"/>
  <c r="J355" i="1"/>
  <c r="L355" i="1" s="1"/>
  <c r="J379" i="1"/>
  <c r="L379" i="1" s="1"/>
  <c r="J387" i="1"/>
  <c r="L387" i="1" s="1"/>
  <c r="L403" i="1"/>
  <c r="J412" i="1"/>
  <c r="L412" i="1" s="1"/>
  <c r="J19" i="1"/>
  <c r="L19" i="1" s="1"/>
  <c r="J155" i="1"/>
  <c r="L155" i="1" s="1"/>
  <c r="J188" i="1"/>
  <c r="L188" i="1" s="1"/>
  <c r="L236" i="1"/>
  <c r="J276" i="1"/>
  <c r="L276" i="1" s="1"/>
  <c r="J284" i="1"/>
  <c r="L284" i="1" s="1"/>
  <c r="J316" i="1"/>
  <c r="L316" i="1" s="1"/>
  <c r="J324" i="1"/>
  <c r="L324" i="1" s="1"/>
  <c r="J348" i="1"/>
  <c r="L348" i="1" s="1"/>
  <c r="J356" i="1"/>
  <c r="L356" i="1" s="1"/>
  <c r="L372" i="1"/>
  <c r="J396" i="1"/>
  <c r="L396" i="1" s="1"/>
  <c r="J404" i="1"/>
  <c r="L404" i="1" s="1"/>
  <c r="L429" i="1"/>
  <c r="J453" i="1"/>
  <c r="L453" i="1" s="1"/>
  <c r="J461" i="1"/>
  <c r="L461" i="1" s="1"/>
  <c r="J485" i="1"/>
  <c r="L485" i="1" s="1"/>
  <c r="J493" i="1"/>
  <c r="L493" i="1" s="1"/>
  <c r="L509" i="1"/>
  <c r="J533" i="1"/>
  <c r="L533" i="1" s="1"/>
  <c r="J541" i="1"/>
  <c r="L541" i="1" s="1"/>
  <c r="J565" i="1"/>
  <c r="L565" i="1" s="1"/>
  <c r="J573" i="1"/>
  <c r="L573" i="1" s="1"/>
  <c r="J597" i="1"/>
  <c r="L597" i="1" s="1"/>
  <c r="J605" i="1"/>
  <c r="L605" i="1" s="1"/>
  <c r="J346" i="1"/>
  <c r="L346" i="1" s="1"/>
  <c r="J3" i="1"/>
  <c r="L3" i="1" s="1"/>
  <c r="J43" i="1"/>
  <c r="L43" i="1" s="1"/>
  <c r="J147" i="1"/>
  <c r="L147" i="1" s="1"/>
  <c r="J179" i="1"/>
  <c r="L179" i="1" s="1"/>
  <c r="J228" i="1"/>
  <c r="L228" i="1" s="1"/>
  <c r="J244" i="1"/>
  <c r="L244" i="1" s="1"/>
  <c r="L292" i="1"/>
  <c r="J20" i="1"/>
  <c r="L20" i="1" s="1"/>
  <c r="J28" i="1"/>
  <c r="L28" i="1" s="1"/>
  <c r="J52" i="1"/>
  <c r="L52" i="1" s="1"/>
  <c r="J60" i="1"/>
  <c r="L60" i="1" s="1"/>
  <c r="J76" i="1"/>
  <c r="L76" i="1" s="1"/>
  <c r="J84" i="1"/>
  <c r="L84" i="1" s="1"/>
  <c r="J108" i="1"/>
  <c r="L108" i="1" s="1"/>
  <c r="L116" i="1"/>
  <c r="J124" i="1"/>
  <c r="L124" i="1" s="1"/>
  <c r="J132" i="1"/>
  <c r="L132" i="1" s="1"/>
  <c r="J156" i="1"/>
  <c r="L156" i="1" s="1"/>
  <c r="J164" i="1"/>
  <c r="L164" i="1" s="1"/>
  <c r="L180" i="1"/>
  <c r="J189" i="1"/>
  <c r="L189" i="1" s="1"/>
  <c r="J213" i="1"/>
  <c r="L213" i="1" s="1"/>
  <c r="J221" i="1"/>
  <c r="L221" i="1" s="1"/>
  <c r="J245" i="1"/>
  <c r="L245" i="1" s="1"/>
  <c r="J253" i="1"/>
  <c r="L253" i="1" s="1"/>
  <c r="J277" i="1"/>
  <c r="L277" i="1" s="1"/>
  <c r="J285" i="1"/>
  <c r="L285" i="1" s="1"/>
  <c r="J309" i="1"/>
  <c r="L309" i="1" s="1"/>
  <c r="J317" i="1"/>
  <c r="L317" i="1" s="1"/>
  <c r="J341" i="1"/>
  <c r="L341" i="1" s="1"/>
  <c r="J349" i="1"/>
  <c r="L349" i="1" s="1"/>
  <c r="J68" i="1"/>
  <c r="L68" i="1" s="1"/>
  <c r="J373" i="1"/>
  <c r="L373" i="1" s="1"/>
  <c r="J389" i="1"/>
  <c r="L389" i="1" s="1"/>
  <c r="J405" i="1"/>
  <c r="L405" i="1" s="1"/>
  <c r="J422" i="1"/>
  <c r="L422" i="1" s="1"/>
  <c r="J454" i="1"/>
  <c r="L454" i="1" s="1"/>
  <c r="J494" i="1"/>
  <c r="L494" i="1" s="1"/>
  <c r="J502" i="1"/>
  <c r="L502" i="1" s="1"/>
  <c r="J526" i="1"/>
  <c r="L526" i="1" s="1"/>
  <c r="L566" i="1"/>
  <c r="L590" i="1"/>
  <c r="J397" i="1"/>
  <c r="L397" i="1" s="1"/>
  <c r="J519" i="1"/>
  <c r="L519" i="1" s="1"/>
  <c r="J527" i="1"/>
  <c r="L527" i="1" s="1"/>
  <c r="J551" i="1"/>
  <c r="L551" i="1" s="1"/>
  <c r="J559" i="1"/>
  <c r="L559" i="1" s="1"/>
  <c r="J583" i="1"/>
  <c r="L583" i="1" s="1"/>
  <c r="J591" i="1"/>
  <c r="L591" i="1" s="1"/>
  <c r="J615" i="1"/>
  <c r="L615" i="1" s="1"/>
  <c r="L424" i="1"/>
  <c r="J432" i="1"/>
  <c r="L432" i="1" s="1"/>
  <c r="L456" i="1"/>
  <c r="L504" i="1"/>
  <c r="J512" i="1"/>
  <c r="L512" i="1" s="1"/>
  <c r="J536" i="1"/>
  <c r="L536" i="1" s="1"/>
  <c r="J544" i="1"/>
  <c r="L544" i="1" s="1"/>
  <c r="J560" i="1"/>
  <c r="L560" i="1" s="1"/>
  <c r="J576" i="1"/>
  <c r="L576" i="1" s="1"/>
  <c r="J592" i="1"/>
  <c r="L592" i="1" s="1"/>
  <c r="J616" i="1"/>
  <c r="L616" i="1" s="1"/>
  <c r="J446" i="1"/>
  <c r="L446" i="1" s="1"/>
  <c r="J400" i="1"/>
  <c r="L400" i="1" s="1"/>
  <c r="J425" i="1"/>
  <c r="L425" i="1" s="1"/>
  <c r="J433" i="1"/>
  <c r="L433" i="1" s="1"/>
  <c r="J457" i="1"/>
  <c r="L457" i="1" s="1"/>
  <c r="J465" i="1"/>
  <c r="L465" i="1" s="1"/>
  <c r="J489" i="1"/>
  <c r="L489" i="1" s="1"/>
  <c r="J497" i="1"/>
  <c r="L497" i="1" s="1"/>
  <c r="J521" i="1"/>
  <c r="L521" i="1" s="1"/>
  <c r="J529" i="1"/>
  <c r="L529" i="1" s="1"/>
  <c r="J553" i="1"/>
  <c r="L553" i="1" s="1"/>
  <c r="J561" i="1"/>
  <c r="L561" i="1" s="1"/>
  <c r="J585" i="1"/>
  <c r="L585" i="1" s="1"/>
  <c r="J593" i="1"/>
  <c r="L593" i="1" s="1"/>
  <c r="J617" i="1"/>
  <c r="L617" i="1" s="1"/>
  <c r="J414" i="1"/>
  <c r="L414" i="1" s="1"/>
  <c r="J377" i="1"/>
  <c r="L377" i="1" s="1"/>
  <c r="J401" i="1"/>
  <c r="L401" i="1" s="1"/>
  <c r="J410" i="1"/>
  <c r="L410" i="1" s="1"/>
  <c r="J434" i="1"/>
  <c r="L434" i="1" s="1"/>
  <c r="J442" i="1"/>
  <c r="L442" i="1" s="1"/>
  <c r="L450" i="1"/>
  <c r="L474" i="1"/>
  <c r="L482" i="1"/>
  <c r="J498" i="1"/>
  <c r="L498" i="1" s="1"/>
  <c r="L506" i="1"/>
  <c r="L538" i="1"/>
  <c r="J562" i="1"/>
  <c r="L562" i="1" s="1"/>
  <c r="J570" i="1"/>
  <c r="L570" i="1" s="1"/>
  <c r="L578" i="1"/>
  <c r="L586" i="1"/>
  <c r="L610" i="1"/>
  <c r="J187" i="1"/>
  <c r="L187" i="1" s="1"/>
  <c r="J602" i="1"/>
  <c r="L602" i="1" s="1"/>
  <c r="J574" i="1"/>
  <c r="L574" i="1" s="1"/>
  <c r="J522" i="1"/>
  <c r="L522" i="1" s="1"/>
  <c r="J507" i="1"/>
  <c r="L507" i="1" s="1"/>
  <c r="J523" i="1"/>
  <c r="L523" i="1" s="1"/>
  <c r="J531" i="1"/>
  <c r="L531" i="1" s="1"/>
  <c r="J555" i="1"/>
  <c r="L555" i="1" s="1"/>
  <c r="J563" i="1"/>
  <c r="L563" i="1" s="1"/>
  <c r="J587" i="1"/>
  <c r="L587" i="1" s="1"/>
  <c r="L611" i="1"/>
  <c r="J490" i="1"/>
  <c r="L490" i="1" s="1"/>
  <c r="J462" i="1"/>
  <c r="L462" i="1" s="1"/>
  <c r="J406" i="1"/>
  <c r="L406" i="1" s="1"/>
  <c r="L420" i="1"/>
  <c r="L436" i="1"/>
  <c r="L452" i="1"/>
  <c r="J476" i="1"/>
  <c r="L476" i="1" s="1"/>
  <c r="J484" i="1"/>
  <c r="L484" i="1" s="1"/>
  <c r="L492" i="1"/>
  <c r="L500" i="1"/>
  <c r="L516" i="1"/>
  <c r="L524" i="1"/>
  <c r="L532" i="1"/>
  <c r="L548" i="1"/>
  <c r="L556" i="1"/>
  <c r="J564" i="1"/>
  <c r="L564" i="1" s="1"/>
  <c r="J588" i="1"/>
  <c r="L588" i="1" s="1"/>
  <c r="J596" i="1"/>
  <c r="L596" i="1" s="1"/>
  <c r="J407" i="1"/>
  <c r="L407" i="1" s="1"/>
  <c r="J568" i="1"/>
  <c r="L568" i="1" s="1"/>
  <c r="J515" i="1"/>
  <c r="L515" i="1" s="1"/>
  <c r="J458" i="1"/>
  <c r="L458" i="1" s="1"/>
  <c r="L613" i="1"/>
  <c r="L93" i="1"/>
  <c r="J571" i="1" l="1"/>
  <c r="L571" i="1" s="1"/>
  <c r="J318" i="1"/>
  <c r="L318" i="1" s="1"/>
  <c r="J332" i="1"/>
  <c r="L332" i="1" s="1"/>
  <c r="J162" i="1"/>
  <c r="L162" i="1" s="1"/>
  <c r="J451" i="1"/>
  <c r="L451" i="1" s="1"/>
  <c r="J57" i="1"/>
  <c r="L57" i="1" s="1"/>
  <c r="J466" i="1"/>
  <c r="L466" i="1" s="1"/>
  <c r="J598" i="1"/>
  <c r="L598" i="1" s="1"/>
  <c r="J148" i="1"/>
  <c r="L148" i="1" s="1"/>
  <c r="J123" i="1"/>
  <c r="L123" i="1" s="1"/>
  <c r="J421" i="1"/>
  <c r="L421" i="1" s="1"/>
  <c r="J26" i="1"/>
  <c r="L26" i="1" s="1"/>
  <c r="J281" i="1"/>
  <c r="L281" i="1" s="1"/>
  <c r="J360" i="1"/>
  <c r="L360" i="1" s="1"/>
  <c r="J334" i="1"/>
  <c r="L334" i="1" s="1"/>
  <c r="J158" i="1"/>
  <c r="L158" i="1" s="1"/>
  <c r="J472" i="1"/>
  <c r="L472" i="1" s="1"/>
  <c r="J140" i="1"/>
  <c r="L140" i="1" s="1"/>
  <c r="J354" i="1"/>
  <c r="L354" i="1" s="1"/>
  <c r="J306" i="1"/>
  <c r="L306" i="1" s="1"/>
  <c r="J218" i="1"/>
  <c r="L218" i="1" s="1"/>
  <c r="J89" i="1"/>
  <c r="L89" i="1" s="1"/>
  <c r="J321" i="1"/>
  <c r="L321" i="1" s="1"/>
  <c r="J193" i="1"/>
  <c r="L193" i="1" s="1"/>
  <c r="J64" i="1"/>
  <c r="L64" i="1" s="1"/>
  <c r="J35" i="1"/>
  <c r="L35" i="1" s="1"/>
  <c r="J272" i="1"/>
  <c r="L272" i="1" s="1"/>
  <c r="J143" i="1"/>
  <c r="L143" i="1" s="1"/>
  <c r="J15" i="1"/>
  <c r="L15" i="1" s="1"/>
  <c r="J45" i="1"/>
  <c r="L45" i="1" s="1"/>
  <c r="J327" i="1"/>
  <c r="L327" i="1" s="1"/>
  <c r="J199" i="1"/>
  <c r="L199" i="1" s="1"/>
  <c r="J70" i="1"/>
  <c r="L70" i="1" s="1"/>
  <c r="J246" i="1"/>
  <c r="L246" i="1" s="1"/>
  <c r="J85" i="1"/>
  <c r="L85" i="1" s="1"/>
  <c r="J415" i="1"/>
  <c r="L415" i="1" s="1"/>
  <c r="J69" i="1"/>
  <c r="L69" i="1" s="1"/>
  <c r="J567" i="1"/>
  <c r="L567" i="1" s="1"/>
  <c r="J478" i="1"/>
  <c r="L478" i="1" s="1"/>
  <c r="J149" i="1"/>
  <c r="L149" i="1" s="1"/>
  <c r="J289" i="1"/>
  <c r="L289" i="1" s="1"/>
  <c r="J160" i="1"/>
  <c r="L160" i="1" s="1"/>
  <c r="J32" i="1"/>
  <c r="L32" i="1" s="1"/>
  <c r="J368" i="1"/>
  <c r="L368" i="1" s="1"/>
  <c r="J240" i="1"/>
  <c r="L240" i="1" s="1"/>
  <c r="J111" i="1"/>
  <c r="L111" i="1" s="1"/>
  <c r="J166" i="1"/>
  <c r="L166" i="1" s="1"/>
  <c r="J237" i="1"/>
  <c r="L237" i="1" s="1"/>
  <c r="J517" i="1"/>
  <c r="L517" i="1" s="1"/>
  <c r="J177" i="1"/>
  <c r="L177" i="1" s="1"/>
  <c r="J152" i="1"/>
  <c r="L152" i="1" s="1"/>
  <c r="J287" i="1"/>
  <c r="L287" i="1" s="1"/>
  <c r="J473" i="1"/>
  <c r="L473" i="1" s="1"/>
  <c r="J599" i="1"/>
  <c r="L599" i="1" s="1"/>
  <c r="J510" i="1"/>
  <c r="L510" i="1" s="1"/>
  <c r="J229" i="1"/>
  <c r="L229" i="1" s="1"/>
  <c r="J83" i="1"/>
  <c r="L83" i="1" s="1"/>
  <c r="J557" i="1"/>
  <c r="L557" i="1" s="1"/>
  <c r="J413" i="1"/>
  <c r="L413" i="1" s="1"/>
  <c r="J195" i="1"/>
  <c r="L195" i="1" s="1"/>
  <c r="J66" i="1"/>
  <c r="L66" i="1" s="1"/>
  <c r="J595" i="1"/>
  <c r="L595" i="1" s="1"/>
  <c r="J440" i="1"/>
  <c r="L440" i="1" s="1"/>
  <c r="J513" i="1"/>
  <c r="L513" i="1" s="1"/>
  <c r="J584" i="1"/>
  <c r="L584" i="1" s="1"/>
  <c r="J520" i="1"/>
  <c r="L520" i="1" s="1"/>
  <c r="J448" i="1"/>
  <c r="L448" i="1" s="1"/>
  <c r="J511" i="1"/>
  <c r="L511" i="1" s="1"/>
  <c r="J582" i="1"/>
  <c r="L582" i="1" s="1"/>
  <c r="J269" i="1"/>
  <c r="L269" i="1" s="1"/>
  <c r="J92" i="1"/>
  <c r="L92" i="1" s="1"/>
  <c r="J12" i="1"/>
  <c r="L12" i="1" s="1"/>
  <c r="J212" i="1"/>
  <c r="L212" i="1" s="1"/>
  <c r="J549" i="1"/>
  <c r="L549" i="1" s="1"/>
  <c r="J501" i="1"/>
  <c r="L501" i="1" s="1"/>
  <c r="J268" i="1"/>
  <c r="L268" i="1" s="1"/>
  <c r="J275" i="1"/>
  <c r="L275" i="1" s="1"/>
  <c r="J186" i="1"/>
  <c r="L186" i="1" s="1"/>
  <c r="J58" i="1"/>
  <c r="L58" i="1" s="1"/>
  <c r="J475" i="1"/>
  <c r="L475" i="1" s="1"/>
  <c r="J298" i="1"/>
  <c r="L298" i="1" s="1"/>
  <c r="J210" i="1"/>
  <c r="L210" i="1" s="1"/>
  <c r="J81" i="1"/>
  <c r="L81" i="1" s="1"/>
  <c r="J313" i="1"/>
  <c r="L313" i="1" s="1"/>
  <c r="J184" i="1"/>
  <c r="L184" i="1" s="1"/>
  <c r="J56" i="1"/>
  <c r="L56" i="1" s="1"/>
  <c r="J392" i="1"/>
  <c r="L392" i="1" s="1"/>
  <c r="J264" i="1"/>
  <c r="L264" i="1" s="1"/>
  <c r="J135" i="1"/>
  <c r="L135" i="1" s="1"/>
  <c r="J7" i="1"/>
  <c r="L7" i="1" s="1"/>
  <c r="J13" i="1"/>
  <c r="L13" i="1" s="1"/>
  <c r="J319" i="1"/>
  <c r="L319" i="1" s="1"/>
  <c r="J191" i="1"/>
  <c r="L191" i="1" s="1"/>
  <c r="J62" i="1"/>
  <c r="L62" i="1" s="1"/>
  <c r="J230" i="1"/>
  <c r="L230" i="1" s="1"/>
  <c r="J53" i="1"/>
  <c r="L53" i="1" s="1"/>
  <c r="J398" i="1"/>
  <c r="L398" i="1" s="1"/>
  <c r="J254" i="1"/>
  <c r="L254" i="1" s="1"/>
  <c r="J444" i="1"/>
  <c r="L444" i="1" s="1"/>
  <c r="J530" i="1"/>
  <c r="L530" i="1" s="1"/>
  <c r="J480" i="1"/>
  <c r="L480" i="1" s="1"/>
  <c r="J34" i="1"/>
  <c r="L34" i="1" s="1"/>
  <c r="J274" i="1"/>
  <c r="L274" i="1" s="1"/>
  <c r="J295" i="1"/>
  <c r="L295" i="1" s="1"/>
  <c r="J607" i="1"/>
  <c r="L607" i="1" s="1"/>
  <c r="J365" i="1"/>
  <c r="L365" i="1" s="1"/>
  <c r="J469" i="1"/>
  <c r="L469" i="1" s="1"/>
  <c r="J243" i="1"/>
  <c r="L243" i="1" s="1"/>
  <c r="J443" i="1"/>
  <c r="L443" i="1" s="1"/>
  <c r="J100" i="1"/>
  <c r="L100" i="1" s="1"/>
  <c r="J363" i="1"/>
  <c r="L363" i="1" s="1"/>
  <c r="J580" i="1"/>
  <c r="L580" i="1" s="1"/>
  <c r="J381" i="1"/>
  <c r="L381" i="1" s="1"/>
  <c r="J470" i="1"/>
  <c r="L470" i="1" s="1"/>
  <c r="J505" i="1"/>
  <c r="L505" i="1" s="1"/>
  <c r="J503" i="1"/>
  <c r="L503" i="1" s="1"/>
  <c r="J261" i="1"/>
  <c r="L261" i="1" s="1"/>
  <c r="J172" i="1"/>
  <c r="L172" i="1" s="1"/>
  <c r="J4" i="1"/>
  <c r="L4" i="1" s="1"/>
  <c r="J196" i="1"/>
  <c r="L196" i="1" s="1"/>
  <c r="J589" i="1"/>
  <c r="L589" i="1" s="1"/>
  <c r="J252" i="1"/>
  <c r="L252" i="1" s="1"/>
  <c r="J115" i="1"/>
  <c r="L115" i="1" s="1"/>
  <c r="J395" i="1"/>
  <c r="L395" i="1" s="1"/>
  <c r="J267" i="1"/>
  <c r="L267" i="1" s="1"/>
  <c r="J98" i="1"/>
  <c r="L98" i="1" s="1"/>
  <c r="J386" i="1"/>
  <c r="L386" i="1" s="1"/>
  <c r="J338" i="1"/>
  <c r="L338" i="1" s="1"/>
  <c r="J250" i="1"/>
  <c r="L250" i="1" s="1"/>
  <c r="J121" i="1"/>
  <c r="L121" i="1" s="1"/>
  <c r="J353" i="1"/>
  <c r="L353" i="1" s="1"/>
  <c r="J225" i="1"/>
  <c r="L225" i="1" s="1"/>
  <c r="J96" i="1"/>
  <c r="L96" i="1" s="1"/>
  <c r="J37" i="1"/>
  <c r="L37" i="1" s="1"/>
  <c r="J304" i="1"/>
  <c r="L304" i="1" s="1"/>
  <c r="J175" i="1"/>
  <c r="L175" i="1" s="1"/>
  <c r="J47" i="1"/>
  <c r="L47" i="1" s="1"/>
  <c r="J165" i="1"/>
  <c r="L165" i="1" s="1"/>
  <c r="J359" i="1"/>
  <c r="L359" i="1" s="1"/>
  <c r="J231" i="1"/>
  <c r="L231" i="1" s="1"/>
  <c r="J102" i="1"/>
  <c r="L102" i="1" s="1"/>
  <c r="J326" i="1"/>
  <c r="L326" i="1" s="1"/>
  <c r="J455" i="1"/>
  <c r="L455" i="1" s="1"/>
  <c r="J222" i="1"/>
  <c r="L222" i="1" s="1"/>
  <c r="J59" i="1"/>
  <c r="L59" i="1" s="1"/>
  <c r="J428" i="1"/>
  <c r="L428" i="1" s="1"/>
  <c r="J357" i="1"/>
  <c r="L357" i="1" s="1"/>
  <c r="J572" i="1"/>
  <c r="L572" i="1" s="1"/>
  <c r="J468" i="1"/>
  <c r="L468" i="1" s="1"/>
  <c r="J547" i="1"/>
  <c r="L547" i="1" s="1"/>
  <c r="J554" i="1"/>
  <c r="L554" i="1" s="1"/>
  <c r="J552" i="1"/>
  <c r="L552" i="1" s="1"/>
  <c r="J545" i="1"/>
  <c r="L545" i="1" s="1"/>
  <c r="J417" i="1"/>
  <c r="L417" i="1" s="1"/>
  <c r="J543" i="1"/>
  <c r="L543" i="1" s="1"/>
  <c r="J301" i="1"/>
  <c r="L301" i="1" s="1"/>
  <c r="J44" i="1"/>
  <c r="L44" i="1" s="1"/>
  <c r="J581" i="1"/>
  <c r="L581" i="1" s="1"/>
  <c r="J308" i="1"/>
  <c r="L308" i="1" s="1"/>
  <c r="J67" i="1"/>
  <c r="L67" i="1" s="1"/>
  <c r="J307" i="1"/>
  <c r="L307" i="1" s="1"/>
  <c r="J90" i="1"/>
  <c r="L90" i="1" s="1"/>
  <c r="J378" i="1"/>
  <c r="L378" i="1" s="1"/>
  <c r="J330" i="1"/>
  <c r="L330" i="1" s="1"/>
  <c r="J242" i="1"/>
  <c r="L242" i="1" s="1"/>
  <c r="J113" i="1"/>
  <c r="L113" i="1" s="1"/>
  <c r="J345" i="1"/>
  <c r="L345" i="1" s="1"/>
  <c r="J217" i="1"/>
  <c r="L217" i="1" s="1"/>
  <c r="J88" i="1"/>
  <c r="L88" i="1" s="1"/>
  <c r="J5" i="1"/>
  <c r="L5" i="1" s="1"/>
  <c r="J296" i="1"/>
  <c r="L296" i="1" s="1"/>
  <c r="J167" i="1"/>
  <c r="L167" i="1" s="1"/>
  <c r="J39" i="1"/>
  <c r="L39" i="1" s="1"/>
  <c r="J133" i="1"/>
  <c r="L133" i="1" s="1"/>
  <c r="J351" i="1"/>
  <c r="L351" i="1" s="1"/>
  <c r="J223" i="1"/>
  <c r="L223" i="1" s="1"/>
  <c r="J94" i="1"/>
  <c r="L94" i="1" s="1"/>
  <c r="J310" i="1"/>
  <c r="L310" i="1" s="1"/>
  <c r="J447" i="1"/>
  <c r="L447" i="1" s="1"/>
  <c r="J542" i="1"/>
  <c r="L542" i="1" s="1"/>
  <c r="J426" i="1"/>
  <c r="L426" i="1" s="1"/>
  <c r="J569" i="1"/>
  <c r="L569" i="1" s="1"/>
  <c r="J441" i="1"/>
  <c r="L441" i="1" s="1"/>
  <c r="J197" i="1"/>
  <c r="L197" i="1" s="1"/>
  <c r="J525" i="1"/>
  <c r="L525" i="1" s="1"/>
  <c r="J380" i="1"/>
  <c r="L380" i="1" s="1"/>
  <c r="J185" i="1"/>
  <c r="L185" i="1" s="1"/>
  <c r="J342" i="1"/>
  <c r="L342" i="1" s="1"/>
  <c r="J51" i="1"/>
  <c r="L51" i="1" s="1"/>
  <c r="J107" i="1"/>
  <c r="L107" i="1" s="1"/>
  <c r="J27" i="1"/>
  <c r="L27" i="1" s="1"/>
  <c r="J600" i="1"/>
  <c r="L600" i="1" s="1"/>
  <c r="J609" i="1"/>
  <c r="L609" i="1" s="1"/>
  <c r="J371" i="1"/>
  <c r="L371" i="1" s="1"/>
  <c r="J154" i="1"/>
  <c r="L154" i="1" s="1"/>
  <c r="J49" i="1"/>
  <c r="L49" i="1" s="1"/>
  <c r="J232" i="1"/>
  <c r="L232" i="1" s="1"/>
  <c r="J416" i="1"/>
  <c r="L416" i="1" s="1"/>
  <c r="J30" i="1"/>
  <c r="L30" i="1" s="1"/>
  <c r="J101" i="1"/>
  <c r="L101" i="1" s="1"/>
  <c r="J540" i="1"/>
  <c r="L540" i="1" s="1"/>
  <c r="J514" i="1"/>
  <c r="L514" i="1" s="1"/>
  <c r="J601" i="1"/>
  <c r="L601" i="1" s="1"/>
  <c r="J528" i="1"/>
  <c r="L528" i="1" s="1"/>
  <c r="J364" i="1"/>
  <c r="L364" i="1" s="1"/>
  <c r="J235" i="1"/>
  <c r="L235" i="1" s="1"/>
  <c r="J603" i="1"/>
  <c r="L603" i="1" s="1"/>
  <c r="J430" i="1"/>
  <c r="L430" i="1" s="1"/>
  <c r="J612" i="1"/>
  <c r="L612" i="1" s="1"/>
  <c r="J508" i="1"/>
  <c r="L508" i="1" s="1"/>
  <c r="J460" i="1"/>
  <c r="L460" i="1" s="1"/>
  <c r="J539" i="1"/>
  <c r="L539" i="1" s="1"/>
  <c r="J438" i="1"/>
  <c r="L438" i="1" s="1"/>
  <c r="J594" i="1"/>
  <c r="L594" i="1" s="1"/>
  <c r="J546" i="1"/>
  <c r="L546" i="1" s="1"/>
  <c r="J393" i="1"/>
  <c r="L393" i="1" s="1"/>
  <c r="J606" i="1"/>
  <c r="L606" i="1" s="1"/>
  <c r="J537" i="1"/>
  <c r="L537" i="1" s="1"/>
  <c r="J409" i="1"/>
  <c r="L409" i="1" s="1"/>
  <c r="J608" i="1"/>
  <c r="L608" i="1" s="1"/>
  <c r="J535" i="1"/>
  <c r="L535" i="1" s="1"/>
  <c r="J534" i="1"/>
  <c r="L534" i="1" s="1"/>
  <c r="J550" i="1"/>
  <c r="L550" i="1" s="1"/>
  <c r="J293" i="1"/>
  <c r="L293" i="1" s="1"/>
  <c r="J36" i="1"/>
  <c r="L36" i="1" s="1"/>
  <c r="J260" i="1"/>
  <c r="L260" i="1" s="1"/>
  <c r="J445" i="1"/>
  <c r="L445" i="1" s="1"/>
  <c r="J300" i="1"/>
  <c r="L300" i="1" s="1"/>
  <c r="J220" i="1"/>
  <c r="L220" i="1" s="1"/>
  <c r="J299" i="1"/>
  <c r="L299" i="1" s="1"/>
  <c r="J130" i="1"/>
  <c r="L130" i="1" s="1"/>
  <c r="J9" i="1"/>
  <c r="L9" i="1" s="1"/>
  <c r="J419" i="1"/>
  <c r="L419" i="1" s="1"/>
  <c r="J153" i="1"/>
  <c r="L153" i="1" s="1"/>
  <c r="J25" i="1"/>
  <c r="L25" i="1" s="1"/>
  <c r="J257" i="1"/>
  <c r="L257" i="1" s="1"/>
  <c r="J128" i="1"/>
  <c r="L128" i="1" s="1"/>
  <c r="J206" i="1"/>
  <c r="L206" i="1" s="1"/>
  <c r="J336" i="1"/>
  <c r="L336" i="1" s="1"/>
  <c r="J208" i="1"/>
  <c r="L208" i="1" s="1"/>
  <c r="J79" i="1"/>
  <c r="L79" i="1" s="1"/>
  <c r="J262" i="1"/>
  <c r="L262" i="1" s="1"/>
  <c r="J391" i="1"/>
  <c r="L391" i="1" s="1"/>
  <c r="J263" i="1"/>
  <c r="L263" i="1" s="1"/>
  <c r="J134" i="1"/>
  <c r="L134" i="1" s="1"/>
  <c r="J6" i="1"/>
  <c r="L6" i="1" s="1"/>
  <c r="J487" i="1"/>
  <c r="L487" i="1" s="1"/>
  <c r="J488" i="1"/>
  <c r="L488" i="1" s="1"/>
  <c r="J614" i="1"/>
  <c r="L614" i="1" s="1"/>
  <c r="J325" i="1"/>
  <c r="L325" i="1" s="1"/>
  <c r="J477" i="1"/>
  <c r="L477" i="1" s="1"/>
  <c r="J331" i="1"/>
  <c r="L331" i="1" s="1"/>
  <c r="J38" i="1"/>
  <c r="L38" i="1" s="1"/>
  <c r="J358" i="1"/>
  <c r="L358" i="1" s="1"/>
  <c r="J418" i="1"/>
  <c r="L418" i="1" s="1"/>
  <c r="J481" i="1"/>
  <c r="L481" i="1" s="1"/>
  <c r="J464" i="1"/>
  <c r="L464" i="1" s="1"/>
  <c r="J518" i="1"/>
  <c r="L518" i="1" s="1"/>
  <c r="J24" i="1"/>
  <c r="L24" i="1" s="1"/>
  <c r="J103" i="1"/>
  <c r="L103" i="1" s="1"/>
  <c r="J604" i="1"/>
  <c r="L604" i="1" s="1"/>
  <c r="J579" i="1"/>
  <c r="L579" i="1" s="1"/>
  <c r="J385" i="1"/>
  <c r="L385" i="1" s="1"/>
  <c r="J577" i="1"/>
  <c r="L577" i="1" s="1"/>
  <c r="J449" i="1"/>
  <c r="L449" i="1" s="1"/>
  <c r="J496" i="1"/>
  <c r="L496" i="1" s="1"/>
  <c r="J575" i="1"/>
  <c r="L575" i="1" s="1"/>
  <c r="J558" i="1"/>
  <c r="L558" i="1" s="1"/>
  <c r="J486" i="1"/>
  <c r="L486" i="1" s="1"/>
  <c r="J333" i="1"/>
  <c r="L333" i="1" s="1"/>
  <c r="J205" i="1"/>
  <c r="L205" i="1" s="1"/>
  <c r="J437" i="1"/>
  <c r="L437" i="1" s="1"/>
  <c r="J388" i="1"/>
  <c r="L388" i="1" s="1"/>
  <c r="J340" i="1"/>
  <c r="L340" i="1" s="1"/>
  <c r="J204" i="1"/>
  <c r="L204" i="1" s="1"/>
  <c r="J339" i="1"/>
  <c r="L339" i="1" s="1"/>
  <c r="J122" i="1"/>
  <c r="L122" i="1" s="1"/>
  <c r="J499" i="1"/>
  <c r="L499" i="1" s="1"/>
  <c r="J411" i="1"/>
  <c r="L411" i="1" s="1"/>
  <c r="J145" i="1"/>
  <c r="L145" i="1" s="1"/>
  <c r="J17" i="1"/>
  <c r="L17" i="1" s="1"/>
  <c r="J249" i="1"/>
  <c r="L249" i="1" s="1"/>
  <c r="J120" i="1"/>
  <c r="L120" i="1" s="1"/>
  <c r="J157" i="1"/>
  <c r="L157" i="1" s="1"/>
  <c r="J328" i="1"/>
  <c r="L328" i="1" s="1"/>
  <c r="J200" i="1"/>
  <c r="L200" i="1" s="1"/>
  <c r="J71" i="1"/>
  <c r="L71" i="1" s="1"/>
  <c r="J238" i="1"/>
  <c r="L238" i="1" s="1"/>
  <c r="J383" i="1"/>
  <c r="L383" i="1" s="1"/>
  <c r="J255" i="1"/>
  <c r="L255" i="1" s="1"/>
  <c r="J126" i="1"/>
  <c r="L126" i="1" s="1"/>
  <c r="J423" i="1"/>
  <c r="L423" i="1" s="1"/>
  <c r="J479" i="1"/>
  <c r="L479" i="1" s="1"/>
  <c r="J91" i="1"/>
  <c r="L91" i="1" s="1"/>
</calcChain>
</file>

<file path=xl/sharedStrings.xml><?xml version="1.0" encoding="utf-8"?>
<sst xmlns="http://schemas.openxmlformats.org/spreadsheetml/2006/main" count="18" uniqueCount="18">
  <si>
    <t>BMI</t>
  </si>
  <si>
    <t>smoker</t>
  </si>
  <si>
    <t>Alccoholic</t>
  </si>
  <si>
    <t>control/case</t>
  </si>
  <si>
    <t>GENDER</t>
  </si>
  <si>
    <t>,1</t>
  </si>
  <si>
    <t>Fever/No Fever</t>
  </si>
  <si>
    <t>1)</t>
  </si>
  <si>
    <t>AGE</t>
  </si>
  <si>
    <t>PLACE OF ORIGIN</t>
  </si>
  <si>
    <t>RELIGION</t>
  </si>
  <si>
    <t>SPEENOMEGALY/HEPATOMEGALY</t>
  </si>
  <si>
    <t>HEMOGLOBIN COUNT(</t>
  </si>
  <si>
    <t>HEIGHT</t>
  </si>
  <si>
    <t>Height in cm</t>
  </si>
  <si>
    <t>height in meter</t>
  </si>
  <si>
    <t>height in (m*m)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</si>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</sst>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/>
    <xf numFmtId="0" fontId="5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/>
    <xf numFmtId="0" fontId="5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" fontId="6" fillId="0" borderId="1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3" fillId="5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7"/>
  <sheetViews>
    <sheetView tabSelected="1" zoomScale="70" zoomScaleNormal="70" workbookViewId="0">
      <pane ySplit="1" topLeftCell="A2" activePane="bottomLeft" state="frozen"/>
      <selection pane="bottomLeft" activeCell="K1" sqref="K1"/>
    </sheetView>
  </sheetViews>
  <sheetFormatPr defaultColWidth="9.109375" defaultRowHeight="14.4" x14ac:dyDescent="0.3"/>
  <cols>
    <col min="1" max="1" width="7.6640625" style="7" customWidth="1"/>
    <col min="2" max="2" width="18.5546875" style="44" customWidth="1"/>
    <col min="3" max="4" width="12" style="5" customWidth="1"/>
    <col min="5" max="5" width="9.109375" style="5" customWidth="1"/>
    <col min="6" max="6" width="13.44140625" style="7" customWidth="1"/>
    <col min="7" max="7" width="9.109375" style="7" customWidth="1"/>
    <col min="8" max="8" width="12" style="7" customWidth="1"/>
    <col min="9" max="9" width="14.88671875" style="7" customWidth="1"/>
    <col min="10" max="10" width="15.33203125" style="7" customWidth="1"/>
    <col min="11" max="12" width="9.109375" style="7" customWidth="1"/>
    <col min="13" max="13" width="15.33203125" style="7" customWidth="1"/>
    <col min="14" max="14" width="19.33203125" style="7" customWidth="1"/>
    <col min="15" max="15" width="18.109375" style="7" customWidth="1"/>
    <col min="16" max="16" width="22" style="7" customWidth="1"/>
    <col min="17" max="17" width="13.5546875" style="7" customWidth="1"/>
    <col min="18" max="16384" width="9.109375" style="7"/>
  </cols>
  <sheetData>
    <row r="1" spans="1:17" ht="28.8" x14ac:dyDescent="0.3">
      <c r="B1" s="37" t="s">
        <v>3</v>
      </c>
      <c r="C1" s="2" t="s">
        <v>10</v>
      </c>
      <c r="D1" s="2" t="s">
        <v>4</v>
      </c>
      <c r="E1" s="2" t="s">
        <v>8</v>
      </c>
      <c r="F1" s="1" t="s">
        <v>9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0</v>
      </c>
      <c r="M1" s="3" t="s">
        <v>1</v>
      </c>
      <c r="N1" s="3" t="s">
        <v>2</v>
      </c>
      <c r="O1" s="34" t="s">
        <v>6</v>
      </c>
      <c r="P1" s="32" t="s">
        <v>11</v>
      </c>
      <c r="Q1" s="32" t="s">
        <v>12</v>
      </c>
    </row>
    <row r="2" spans="1:17" s="19" customFormat="1" x14ac:dyDescent="0.3">
      <c r="A2" s="19">
        <v>1</v>
      </c>
      <c r="B2" s="38">
        <v>0</v>
      </c>
      <c r="C2" s="18">
        <v>0</v>
      </c>
      <c r="D2" s="18">
        <v>0</v>
      </c>
      <c r="E2" s="18">
        <v>56</v>
      </c>
      <c r="F2" s="18">
        <v>0</v>
      </c>
      <c r="G2" s="18">
        <v>5.4</v>
      </c>
      <c r="H2" s="18">
        <f>CONVERT(2,"ft","m")*100</f>
        <v>60.96</v>
      </c>
      <c r="I2" s="18">
        <f>H2/100</f>
        <v>0.60960000000000003</v>
      </c>
      <c r="J2" s="18">
        <f>I2*I2</f>
        <v>0.37161216000000002</v>
      </c>
      <c r="K2" s="18">
        <v>70</v>
      </c>
      <c r="L2" s="19">
        <f t="shared" ref="L2:L65" si="0">K2/J2</f>
        <v>188.36843229242012</v>
      </c>
      <c r="M2" s="19">
        <v>1</v>
      </c>
      <c r="N2" s="18">
        <v>2</v>
      </c>
      <c r="O2" s="22">
        <v>0</v>
      </c>
      <c r="P2" s="22">
        <v>0</v>
      </c>
      <c r="Q2" s="29">
        <v>10</v>
      </c>
    </row>
    <row r="3" spans="1:17" s="19" customFormat="1" x14ac:dyDescent="0.3">
      <c r="A3" s="19">
        <v>2</v>
      </c>
      <c r="B3" s="38">
        <v>0</v>
      </c>
      <c r="C3" s="18">
        <v>1</v>
      </c>
      <c r="D3" s="18">
        <v>0</v>
      </c>
      <c r="E3" s="18">
        <v>54</v>
      </c>
      <c r="F3" s="18">
        <v>1</v>
      </c>
      <c r="G3" s="18">
        <v>5.7</v>
      </c>
      <c r="H3" s="19">
        <f>CONVERT(3,"ft","m")*100</f>
        <v>91.44</v>
      </c>
      <c r="I3" s="18">
        <f t="shared" ref="I3:I66" si="1">H3/100</f>
        <v>0.91439999999999999</v>
      </c>
      <c r="J3" s="18">
        <f>I3*I3</f>
        <v>0.83612735999999999</v>
      </c>
      <c r="K3" s="18">
        <v>80</v>
      </c>
      <c r="L3" s="19">
        <f t="shared" si="0"/>
        <v>95.679203704086419</v>
      </c>
      <c r="M3" s="19">
        <v>1</v>
      </c>
      <c r="N3" s="18">
        <v>2</v>
      </c>
      <c r="O3" s="22">
        <v>0</v>
      </c>
      <c r="P3" s="22">
        <v>0</v>
      </c>
      <c r="Q3" s="18">
        <v>9</v>
      </c>
    </row>
    <row r="4" spans="1:17" s="19" customFormat="1" x14ac:dyDescent="0.3">
      <c r="A4" s="19">
        <v>3</v>
      </c>
      <c r="B4" s="38">
        <v>0</v>
      </c>
      <c r="C4" s="18">
        <v>1</v>
      </c>
      <c r="D4" s="18">
        <v>0</v>
      </c>
      <c r="E4" s="18">
        <v>45</v>
      </c>
      <c r="F4" s="18">
        <v>2</v>
      </c>
      <c r="G4" s="18">
        <v>5.4</v>
      </c>
      <c r="H4" s="19">
        <f>CONVERT(4,"ft","m")*100</f>
        <v>121.92</v>
      </c>
      <c r="I4" s="18">
        <f t="shared" si="1"/>
        <v>1.2192000000000001</v>
      </c>
      <c r="J4" s="18">
        <f>I4*I4</f>
        <v>1.4864486400000001</v>
      </c>
      <c r="K4" s="18">
        <v>90</v>
      </c>
      <c r="L4" s="19">
        <f t="shared" si="0"/>
        <v>60.546996093992185</v>
      </c>
      <c r="M4" s="19">
        <v>1</v>
      </c>
      <c r="N4" s="18">
        <v>0</v>
      </c>
      <c r="O4" s="22">
        <v>0</v>
      </c>
      <c r="P4" s="22">
        <v>0</v>
      </c>
      <c r="Q4" s="18">
        <v>9</v>
      </c>
    </row>
    <row r="5" spans="1:17" s="19" customFormat="1" x14ac:dyDescent="0.3">
      <c r="A5" s="19">
        <v>4</v>
      </c>
      <c r="B5" s="38">
        <v>0</v>
      </c>
      <c r="C5" s="18">
        <v>1</v>
      </c>
      <c r="D5" s="18">
        <v>0</v>
      </c>
      <c r="E5" s="18">
        <v>40</v>
      </c>
      <c r="F5" s="18">
        <v>1</v>
      </c>
      <c r="G5" s="18">
        <v>5.5</v>
      </c>
      <c r="H5" s="19">
        <f>CONVERT(5,"ft","m")*100</f>
        <v>152.4</v>
      </c>
      <c r="I5" s="18">
        <f t="shared" si="1"/>
        <v>1.524</v>
      </c>
      <c r="J5" s="18">
        <f>I5*I5</f>
        <v>2.3225760000000002</v>
      </c>
      <c r="K5" s="18">
        <v>65</v>
      </c>
      <c r="L5" s="19">
        <f t="shared" si="0"/>
        <v>27.986167083445277</v>
      </c>
      <c r="M5" s="19">
        <v>0</v>
      </c>
      <c r="N5" s="18">
        <v>2</v>
      </c>
      <c r="O5" s="22">
        <v>0</v>
      </c>
      <c r="P5" s="22">
        <v>0</v>
      </c>
      <c r="Q5" s="18">
        <v>9</v>
      </c>
    </row>
    <row r="6" spans="1:17" s="19" customFormat="1" x14ac:dyDescent="0.3">
      <c r="A6" s="19">
        <v>5</v>
      </c>
      <c r="B6" s="38">
        <v>0</v>
      </c>
      <c r="C6" s="18">
        <v>1</v>
      </c>
      <c r="D6" s="18">
        <v>0</v>
      </c>
      <c r="E6" s="18">
        <v>47</v>
      </c>
      <c r="F6" s="18">
        <v>1</v>
      </c>
      <c r="G6" s="18">
        <v>5.8</v>
      </c>
      <c r="H6" s="19">
        <f>CONVERT(6,"ft","m")*100</f>
        <v>182.88</v>
      </c>
      <c r="I6" s="18">
        <f t="shared" si="1"/>
        <v>1.8288</v>
      </c>
      <c r="J6" s="18">
        <f>I6*I6</f>
        <v>3.3445094399999999</v>
      </c>
      <c r="K6" s="18">
        <v>65</v>
      </c>
      <c r="L6" s="19">
        <f t="shared" si="0"/>
        <v>19.434838252392556</v>
      </c>
      <c r="M6" s="19">
        <v>0</v>
      </c>
      <c r="N6" s="18">
        <v>2</v>
      </c>
      <c r="O6" s="22">
        <v>0</v>
      </c>
      <c r="P6" s="22">
        <v>0</v>
      </c>
      <c r="Q6" s="18">
        <v>9</v>
      </c>
    </row>
    <row r="7" spans="1:17" s="19" customFormat="1" x14ac:dyDescent="0.3">
      <c r="A7" s="19">
        <v>6</v>
      </c>
      <c r="B7" s="38">
        <v>0</v>
      </c>
      <c r="C7" s="18">
        <v>1</v>
      </c>
      <c r="D7" s="18">
        <v>0</v>
      </c>
      <c r="E7" s="18">
        <v>45</v>
      </c>
      <c r="F7" s="18">
        <v>1</v>
      </c>
      <c r="G7" s="18">
        <v>5.5</v>
      </c>
      <c r="H7" s="19">
        <f>CONVERT(7,"ft","m")*100</f>
        <v>213.35999999999999</v>
      </c>
      <c r="I7" s="18">
        <f t="shared" si="1"/>
        <v>2.1335999999999999</v>
      </c>
      <c r="J7" s="18">
        <f>I7*I7</f>
        <v>4.55224896</v>
      </c>
      <c r="K7" s="18">
        <v>68</v>
      </c>
      <c r="L7" s="19">
        <f t="shared" si="0"/>
        <v>14.937671598699206</v>
      </c>
      <c r="M7" s="19">
        <v>0</v>
      </c>
      <c r="N7" s="18">
        <v>0</v>
      </c>
      <c r="O7" s="22">
        <v>0</v>
      </c>
      <c r="P7" s="22">
        <v>0</v>
      </c>
      <c r="Q7" s="18">
        <v>9</v>
      </c>
    </row>
    <row r="8" spans="1:17" s="19" customFormat="1" x14ac:dyDescent="0.3">
      <c r="A8" s="19">
        <v>7</v>
      </c>
      <c r="B8" s="38">
        <v>0</v>
      </c>
      <c r="C8" s="18">
        <v>1</v>
      </c>
      <c r="D8" s="18">
        <v>0</v>
      </c>
      <c r="E8" s="18">
        <v>33</v>
      </c>
      <c r="F8" s="18">
        <v>1</v>
      </c>
      <c r="G8" s="18">
        <v>4.9000000000000004</v>
      </c>
      <c r="H8" s="19">
        <f>CONVERT(8,"ft","m")*100</f>
        <v>243.84</v>
      </c>
      <c r="I8" s="18">
        <f t="shared" si="1"/>
        <v>2.4384000000000001</v>
      </c>
      <c r="J8" s="18">
        <f>I8*I8</f>
        <v>5.9457945600000004</v>
      </c>
      <c r="K8" s="18">
        <v>70</v>
      </c>
      <c r="L8" s="19">
        <f t="shared" si="0"/>
        <v>11.773027018276258</v>
      </c>
      <c r="M8" s="19">
        <v>0</v>
      </c>
      <c r="N8" s="18">
        <v>0</v>
      </c>
      <c r="O8" s="22">
        <v>0</v>
      </c>
      <c r="P8" s="22">
        <v>0</v>
      </c>
      <c r="Q8" s="18">
        <v>9</v>
      </c>
    </row>
    <row r="9" spans="1:17" s="19" customFormat="1" x14ac:dyDescent="0.3">
      <c r="A9" s="19">
        <v>8</v>
      </c>
      <c r="B9" s="38">
        <v>0</v>
      </c>
      <c r="C9" s="18">
        <v>1</v>
      </c>
      <c r="D9" s="18">
        <v>0</v>
      </c>
      <c r="E9" s="18">
        <v>56</v>
      </c>
      <c r="F9" s="18">
        <v>1</v>
      </c>
      <c r="G9" s="18">
        <v>5.5</v>
      </c>
      <c r="H9" s="19">
        <f>CONVERT(9,"ft","m")*100</f>
        <v>274.32</v>
      </c>
      <c r="I9" s="18">
        <f t="shared" si="1"/>
        <v>2.7431999999999999</v>
      </c>
      <c r="J9" s="18">
        <f>I9*I9</f>
        <v>7.5251462399999989</v>
      </c>
      <c r="K9" s="18">
        <v>55</v>
      </c>
      <c r="L9" s="19">
        <f t="shared" si="0"/>
        <v>7.3088280607288247</v>
      </c>
      <c r="M9" s="19">
        <v>1</v>
      </c>
      <c r="N9" s="18">
        <v>2</v>
      </c>
      <c r="O9" s="22">
        <v>0</v>
      </c>
      <c r="P9" s="22">
        <v>0</v>
      </c>
      <c r="Q9" s="18">
        <v>9</v>
      </c>
    </row>
    <row r="10" spans="1:17" s="19" customFormat="1" x14ac:dyDescent="0.3">
      <c r="A10" s="19">
        <v>9</v>
      </c>
      <c r="B10" s="38">
        <v>0</v>
      </c>
      <c r="C10" s="18">
        <v>1</v>
      </c>
      <c r="D10" s="18">
        <v>0</v>
      </c>
      <c r="E10" s="18">
        <v>51</v>
      </c>
      <c r="F10" s="18">
        <v>1</v>
      </c>
      <c r="G10" s="18">
        <v>5.3</v>
      </c>
      <c r="H10" s="19">
        <f>CONVERT(10,"ft","m")*100</f>
        <v>304.8</v>
      </c>
      <c r="I10" s="18">
        <f t="shared" si="1"/>
        <v>3.048</v>
      </c>
      <c r="J10" s="18">
        <f>I10*I10</f>
        <v>9.2903040000000008</v>
      </c>
      <c r="K10" s="18">
        <v>55</v>
      </c>
      <c r="L10" s="19">
        <f t="shared" si="0"/>
        <v>5.9201507291903468</v>
      </c>
      <c r="M10" s="19">
        <v>0</v>
      </c>
      <c r="N10" s="18">
        <v>0</v>
      </c>
      <c r="O10" s="22">
        <v>0</v>
      </c>
      <c r="P10" s="22">
        <v>0</v>
      </c>
      <c r="Q10" s="18">
        <v>9</v>
      </c>
    </row>
    <row r="11" spans="1:17" s="19" customFormat="1" x14ac:dyDescent="0.3">
      <c r="A11" s="19">
        <v>10</v>
      </c>
      <c r="B11" s="38">
        <v>0</v>
      </c>
      <c r="C11" s="18">
        <v>1</v>
      </c>
      <c r="D11" s="18">
        <v>0</v>
      </c>
      <c r="E11" s="18">
        <v>60</v>
      </c>
      <c r="F11" s="18">
        <v>1</v>
      </c>
      <c r="G11" s="18">
        <v>5.5</v>
      </c>
      <c r="H11" s="19">
        <f>CONVERT(11,"ft","m")*100</f>
        <v>335.28</v>
      </c>
      <c r="I11" s="18">
        <f t="shared" si="1"/>
        <v>3.3527999999999998</v>
      </c>
      <c r="J11" s="18">
        <f>I11*I11</f>
        <v>11.241267839999999</v>
      </c>
      <c r="K11" s="18">
        <v>67</v>
      </c>
      <c r="L11" s="19">
        <f t="shared" si="0"/>
        <v>5.9601818009880283</v>
      </c>
      <c r="M11" s="19">
        <v>0</v>
      </c>
      <c r="N11" s="18">
        <v>2</v>
      </c>
      <c r="O11" s="22">
        <v>0</v>
      </c>
      <c r="P11" s="22">
        <v>0</v>
      </c>
      <c r="Q11" s="18">
        <v>9</v>
      </c>
    </row>
    <row r="12" spans="1:17" s="19" customFormat="1" x14ac:dyDescent="0.3">
      <c r="A12" s="19">
        <v>11</v>
      </c>
      <c r="B12" s="38">
        <v>0</v>
      </c>
      <c r="C12" s="18">
        <v>0</v>
      </c>
      <c r="D12" s="18">
        <v>0</v>
      </c>
      <c r="E12" s="18">
        <v>40</v>
      </c>
      <c r="F12" s="18">
        <v>1</v>
      </c>
      <c r="G12" s="18">
        <v>4.9000000000000004</v>
      </c>
      <c r="H12" s="19">
        <f>CONVERT(12,"ft","m")*100</f>
        <v>365.76</v>
      </c>
      <c r="I12" s="18">
        <f t="shared" si="1"/>
        <v>3.6576</v>
      </c>
      <c r="J12" s="18">
        <f>I12*I12</f>
        <v>13.37803776</v>
      </c>
      <c r="K12" s="18">
        <v>68</v>
      </c>
      <c r="L12" s="19">
        <f t="shared" si="0"/>
        <v>5.0829576967795909</v>
      </c>
      <c r="M12" s="19">
        <v>0</v>
      </c>
      <c r="N12" s="18">
        <v>2</v>
      </c>
      <c r="O12" s="22">
        <v>0</v>
      </c>
      <c r="P12" s="22">
        <v>0</v>
      </c>
      <c r="Q12" s="18">
        <v>9</v>
      </c>
    </row>
    <row r="13" spans="1:17" s="19" customFormat="1" x14ac:dyDescent="0.3">
      <c r="A13" s="19">
        <v>12</v>
      </c>
      <c r="B13" s="38">
        <v>0</v>
      </c>
      <c r="C13" s="18">
        <v>1</v>
      </c>
      <c r="D13" s="18">
        <v>0</v>
      </c>
      <c r="E13" s="18">
        <v>40</v>
      </c>
      <c r="F13" s="18">
        <v>1</v>
      </c>
      <c r="G13" s="18">
        <v>5.5</v>
      </c>
      <c r="H13" s="19">
        <f>CONVERT(13,"ft","m")*100</f>
        <v>396.24</v>
      </c>
      <c r="I13" s="18">
        <f t="shared" si="1"/>
        <v>3.9624000000000001</v>
      </c>
      <c r="J13" s="18">
        <f>I13*I13</f>
        <v>15.700613760000001</v>
      </c>
      <c r="K13" s="18">
        <v>69</v>
      </c>
      <c r="L13" s="19">
        <f t="shared" si="0"/>
        <v>4.3947326553430219</v>
      </c>
      <c r="M13" s="19">
        <v>0</v>
      </c>
      <c r="N13" s="18">
        <v>0</v>
      </c>
      <c r="O13" s="22">
        <v>0</v>
      </c>
      <c r="P13" s="22">
        <v>0</v>
      </c>
      <c r="Q13" s="18">
        <v>9</v>
      </c>
    </row>
    <row r="14" spans="1:17" s="19" customFormat="1" x14ac:dyDescent="0.3">
      <c r="A14" s="19">
        <v>13</v>
      </c>
      <c r="B14" s="38">
        <v>0</v>
      </c>
      <c r="C14" s="18">
        <v>1</v>
      </c>
      <c r="D14" s="18">
        <v>0</v>
      </c>
      <c r="E14" s="18">
        <v>52</v>
      </c>
      <c r="F14" s="18">
        <v>1</v>
      </c>
      <c r="G14" s="18">
        <v>5</v>
      </c>
      <c r="H14" s="19">
        <f>CONVERT(14,"ft","m")*100</f>
        <v>426.71999999999997</v>
      </c>
      <c r="I14" s="18">
        <f t="shared" si="1"/>
        <v>4.2671999999999999</v>
      </c>
      <c r="J14" s="18">
        <f>I14*I14</f>
        <v>18.20899584</v>
      </c>
      <c r="K14" s="18">
        <v>80</v>
      </c>
      <c r="L14" s="19">
        <f t="shared" si="0"/>
        <v>4.3934328231468252</v>
      </c>
      <c r="M14" s="19">
        <v>1</v>
      </c>
      <c r="N14" s="18">
        <v>0</v>
      </c>
      <c r="O14" s="22">
        <v>0</v>
      </c>
      <c r="P14" s="22">
        <v>0</v>
      </c>
      <c r="Q14" s="18">
        <v>9</v>
      </c>
    </row>
    <row r="15" spans="1:17" s="19" customFormat="1" x14ac:dyDescent="0.3">
      <c r="A15" s="19">
        <v>14</v>
      </c>
      <c r="B15" s="38">
        <v>0</v>
      </c>
      <c r="C15" s="18">
        <v>1</v>
      </c>
      <c r="D15" s="18">
        <v>0</v>
      </c>
      <c r="E15" s="18">
        <v>38</v>
      </c>
      <c r="F15" s="18">
        <v>3</v>
      </c>
      <c r="G15" s="18">
        <v>5.5</v>
      </c>
      <c r="H15" s="19">
        <f>CONVERT(15,"ft","m")*100</f>
        <v>457.2</v>
      </c>
      <c r="I15" s="18">
        <f t="shared" si="1"/>
        <v>4.5720000000000001</v>
      </c>
      <c r="J15" s="18">
        <f>I15*I15</f>
        <v>20.903184</v>
      </c>
      <c r="K15" s="18">
        <v>90</v>
      </c>
      <c r="L15" s="19">
        <f t="shared" si="0"/>
        <v>4.3055641666838893</v>
      </c>
      <c r="M15" s="19">
        <v>1</v>
      </c>
      <c r="N15" s="18">
        <v>0</v>
      </c>
      <c r="O15" s="22">
        <v>0</v>
      </c>
      <c r="P15" s="22">
        <v>0</v>
      </c>
      <c r="Q15" s="18">
        <v>9</v>
      </c>
    </row>
    <row r="16" spans="1:17" s="19" customFormat="1" x14ac:dyDescent="0.3">
      <c r="A16" s="19">
        <v>15</v>
      </c>
      <c r="B16" s="38">
        <v>0</v>
      </c>
      <c r="C16" s="18">
        <v>2</v>
      </c>
      <c r="D16" s="18">
        <v>0</v>
      </c>
      <c r="E16" s="18">
        <v>54</v>
      </c>
      <c r="F16" s="18">
        <v>1</v>
      </c>
      <c r="G16" s="18">
        <v>5.5</v>
      </c>
      <c r="H16" s="19">
        <f>CONVERT(16,"ft","m")*100</f>
        <v>487.68</v>
      </c>
      <c r="I16" s="18">
        <f t="shared" si="1"/>
        <v>4.8768000000000002</v>
      </c>
      <c r="J16" s="18">
        <f>I16*I16</f>
        <v>23.783178240000002</v>
      </c>
      <c r="K16" s="18">
        <v>60</v>
      </c>
      <c r="L16" s="19">
        <f t="shared" si="0"/>
        <v>2.5227915039163409</v>
      </c>
      <c r="M16" s="19">
        <v>1</v>
      </c>
      <c r="N16" s="18">
        <v>0</v>
      </c>
      <c r="O16" s="22">
        <v>0</v>
      </c>
      <c r="P16" s="22">
        <v>0</v>
      </c>
      <c r="Q16" s="18">
        <v>9</v>
      </c>
    </row>
    <row r="17" spans="1:17" s="19" customFormat="1" x14ac:dyDescent="0.3">
      <c r="A17" s="19">
        <v>16</v>
      </c>
      <c r="B17" s="38">
        <v>0</v>
      </c>
      <c r="C17" s="18">
        <v>1</v>
      </c>
      <c r="D17" s="18">
        <v>0</v>
      </c>
      <c r="E17" s="18">
        <v>37</v>
      </c>
      <c r="F17" s="18">
        <v>1</v>
      </c>
      <c r="G17" s="18">
        <v>4.9000000000000004</v>
      </c>
      <c r="H17" s="19">
        <f>CONVERT(17,"ft","m")*100</f>
        <v>518.16000000000008</v>
      </c>
      <c r="I17" s="18">
        <f t="shared" si="1"/>
        <v>5.1816000000000004</v>
      </c>
      <c r="J17" s="18">
        <f>I17*I17</f>
        <v>26.848978560000006</v>
      </c>
      <c r="K17" s="18">
        <v>66</v>
      </c>
      <c r="L17" s="19">
        <f t="shared" si="0"/>
        <v>2.4581940744042958</v>
      </c>
      <c r="M17" s="19">
        <v>0</v>
      </c>
      <c r="N17" s="18">
        <v>0</v>
      </c>
      <c r="O17" s="22">
        <v>0</v>
      </c>
      <c r="P17" s="22">
        <v>0</v>
      </c>
      <c r="Q17" s="18">
        <v>9</v>
      </c>
    </row>
    <row r="18" spans="1:17" s="19" customFormat="1" x14ac:dyDescent="0.3">
      <c r="A18" s="19">
        <v>17</v>
      </c>
      <c r="B18" s="38">
        <v>0</v>
      </c>
      <c r="C18" s="18">
        <v>2</v>
      </c>
      <c r="D18" s="18">
        <v>0</v>
      </c>
      <c r="E18" s="18">
        <v>47</v>
      </c>
      <c r="F18" s="18">
        <v>1</v>
      </c>
      <c r="G18" s="18">
        <v>5</v>
      </c>
      <c r="H18" s="19">
        <f>CONVERT(18,"ft","m")*100</f>
        <v>548.64</v>
      </c>
      <c r="I18" s="18">
        <f t="shared" si="1"/>
        <v>5.4863999999999997</v>
      </c>
      <c r="J18" s="18">
        <f>I18*I18</f>
        <v>30.100584959999996</v>
      </c>
      <c r="K18" s="18">
        <v>55</v>
      </c>
      <c r="L18" s="19">
        <f t="shared" si="0"/>
        <v>1.8272070151822062</v>
      </c>
      <c r="M18" s="19">
        <v>0</v>
      </c>
      <c r="N18" s="18">
        <v>2</v>
      </c>
      <c r="O18" s="22">
        <v>0</v>
      </c>
      <c r="P18" s="22">
        <v>0</v>
      </c>
      <c r="Q18" s="18">
        <v>10</v>
      </c>
    </row>
    <row r="19" spans="1:17" s="19" customFormat="1" x14ac:dyDescent="0.3">
      <c r="A19" s="19">
        <v>18</v>
      </c>
      <c r="B19" s="38">
        <v>0</v>
      </c>
      <c r="C19" s="18">
        <v>0</v>
      </c>
      <c r="D19" s="18">
        <v>0</v>
      </c>
      <c r="E19" s="18">
        <v>45</v>
      </c>
      <c r="F19" s="18">
        <v>1</v>
      </c>
      <c r="G19" s="18">
        <v>5.5</v>
      </c>
      <c r="H19" s="19">
        <f>CONVERT(19,"ft","m")*100</f>
        <v>579.12</v>
      </c>
      <c r="I19" s="18">
        <f t="shared" si="1"/>
        <v>5.7911999999999999</v>
      </c>
      <c r="J19" s="18">
        <f>I19*I19</f>
        <v>33.537997439999998</v>
      </c>
      <c r="K19" s="18">
        <v>60</v>
      </c>
      <c r="L19" s="19">
        <f t="shared" si="0"/>
        <v>1.7890155817246076</v>
      </c>
      <c r="M19" s="19">
        <v>0</v>
      </c>
      <c r="N19" s="18">
        <v>2</v>
      </c>
      <c r="O19" s="22">
        <v>0</v>
      </c>
      <c r="P19" s="22">
        <v>0</v>
      </c>
      <c r="Q19" s="18">
        <v>10</v>
      </c>
    </row>
    <row r="20" spans="1:17" s="19" customFormat="1" x14ac:dyDescent="0.3">
      <c r="A20" s="19">
        <v>19</v>
      </c>
      <c r="B20" s="38">
        <v>0</v>
      </c>
      <c r="C20" s="18">
        <v>0</v>
      </c>
      <c r="D20" s="18">
        <v>0</v>
      </c>
      <c r="E20" s="18">
        <v>33</v>
      </c>
      <c r="F20" s="18">
        <v>1</v>
      </c>
      <c r="G20" s="18">
        <v>5.5</v>
      </c>
      <c r="H20" s="19">
        <f>CONVERT(20,"ft","m")*100</f>
        <v>609.6</v>
      </c>
      <c r="I20" s="18">
        <f t="shared" si="1"/>
        <v>6.0960000000000001</v>
      </c>
      <c r="J20" s="18">
        <f>I20*I20</f>
        <v>37.161216000000003</v>
      </c>
      <c r="K20" s="18">
        <v>40</v>
      </c>
      <c r="L20" s="19">
        <f t="shared" si="0"/>
        <v>1.0763910416709721</v>
      </c>
      <c r="M20" s="19">
        <v>0</v>
      </c>
      <c r="N20" s="18">
        <v>2</v>
      </c>
      <c r="O20" s="22">
        <v>0</v>
      </c>
      <c r="P20" s="22">
        <v>0</v>
      </c>
      <c r="Q20" s="18">
        <v>10</v>
      </c>
    </row>
    <row r="21" spans="1:17" s="19" customFormat="1" x14ac:dyDescent="0.3">
      <c r="A21" s="19">
        <v>20</v>
      </c>
      <c r="B21" s="38">
        <v>0</v>
      </c>
      <c r="C21" s="18">
        <v>0</v>
      </c>
      <c r="D21" s="18">
        <v>0</v>
      </c>
      <c r="E21" s="18">
        <v>28</v>
      </c>
      <c r="F21" s="18">
        <v>1</v>
      </c>
      <c r="G21" s="18">
        <v>4.7</v>
      </c>
      <c r="H21" s="19">
        <f>CONVERT(21,"ft","m")*100</f>
        <v>640.08000000000004</v>
      </c>
      <c r="I21" s="18">
        <f t="shared" si="1"/>
        <v>6.4008000000000003</v>
      </c>
      <c r="J21" s="18">
        <f>I21*I21</f>
        <v>40.97024064</v>
      </c>
      <c r="K21" s="18">
        <v>50</v>
      </c>
      <c r="L21" s="19">
        <f t="shared" si="0"/>
        <v>1.2203980064296738</v>
      </c>
      <c r="M21" s="19">
        <v>0</v>
      </c>
      <c r="N21" s="18">
        <v>0</v>
      </c>
      <c r="O21" s="22">
        <v>0</v>
      </c>
      <c r="P21" s="22">
        <v>0</v>
      </c>
      <c r="Q21" s="18">
        <v>10</v>
      </c>
    </row>
    <row r="22" spans="1:17" s="19" customFormat="1" x14ac:dyDescent="0.3">
      <c r="A22" s="19">
        <v>21</v>
      </c>
      <c r="B22" s="38">
        <v>0</v>
      </c>
      <c r="C22" s="18">
        <v>1</v>
      </c>
      <c r="D22" s="18">
        <v>0</v>
      </c>
      <c r="E22" s="18">
        <v>56</v>
      </c>
      <c r="F22" s="18">
        <v>1</v>
      </c>
      <c r="G22" s="18">
        <v>6</v>
      </c>
      <c r="H22" s="19">
        <f>CONVERT(22,"ft","m")*100</f>
        <v>670.56</v>
      </c>
      <c r="I22" s="18">
        <f t="shared" si="1"/>
        <v>6.7055999999999996</v>
      </c>
      <c r="J22" s="18">
        <f>I22*I22</f>
        <v>44.965071359999996</v>
      </c>
      <c r="K22" s="18">
        <v>50</v>
      </c>
      <c r="L22" s="19">
        <f t="shared" si="0"/>
        <v>1.1119742166022442</v>
      </c>
      <c r="M22" s="19">
        <v>1</v>
      </c>
      <c r="N22" s="18">
        <v>0</v>
      </c>
      <c r="O22" s="22">
        <v>0</v>
      </c>
      <c r="P22" s="22">
        <v>0</v>
      </c>
      <c r="Q22" s="18">
        <v>10</v>
      </c>
    </row>
    <row r="23" spans="1:17" s="19" customFormat="1" x14ac:dyDescent="0.3">
      <c r="A23" s="19">
        <v>22</v>
      </c>
      <c r="B23" s="38">
        <v>0</v>
      </c>
      <c r="C23" s="18">
        <v>1</v>
      </c>
      <c r="D23" s="18">
        <v>0</v>
      </c>
      <c r="E23" s="18">
        <v>51</v>
      </c>
      <c r="F23" s="18">
        <v>4</v>
      </c>
      <c r="G23" s="18">
        <v>5.5</v>
      </c>
      <c r="H23" s="19">
        <f>CONVERT(23,"ft","m")*100</f>
        <v>701.04</v>
      </c>
      <c r="I23" s="18">
        <f t="shared" si="1"/>
        <v>7.0103999999999997</v>
      </c>
      <c r="J23" s="18">
        <f>I23*I23</f>
        <v>49.145708159999998</v>
      </c>
      <c r="K23" s="18">
        <v>69</v>
      </c>
      <c r="L23" s="19">
        <f t="shared" si="0"/>
        <v>1.4039883152230073</v>
      </c>
      <c r="M23" s="19">
        <v>1</v>
      </c>
      <c r="N23" s="18">
        <v>0</v>
      </c>
      <c r="O23" s="22">
        <v>0</v>
      </c>
      <c r="P23" s="22">
        <v>0</v>
      </c>
      <c r="Q23" s="18">
        <v>10</v>
      </c>
    </row>
    <row r="24" spans="1:17" s="19" customFormat="1" x14ac:dyDescent="0.3">
      <c r="A24" s="19">
        <v>23</v>
      </c>
      <c r="B24" s="38">
        <v>0</v>
      </c>
      <c r="C24" s="18">
        <v>1</v>
      </c>
      <c r="D24" s="18">
        <v>0</v>
      </c>
      <c r="E24" s="18">
        <v>31</v>
      </c>
      <c r="F24" s="18">
        <v>1</v>
      </c>
      <c r="G24" s="18">
        <v>4.9000000000000004</v>
      </c>
      <c r="H24" s="19">
        <f>CONVERT(24,"ft","m")*100</f>
        <v>731.52</v>
      </c>
      <c r="I24" s="18">
        <f t="shared" si="1"/>
        <v>7.3151999999999999</v>
      </c>
      <c r="J24" s="18">
        <f>I24*I24</f>
        <v>53.512151039999999</v>
      </c>
      <c r="K24" s="18">
        <v>70</v>
      </c>
      <c r="L24" s="19">
        <f t="shared" si="0"/>
        <v>1.3081141131418066</v>
      </c>
      <c r="M24" s="19">
        <v>0</v>
      </c>
      <c r="N24" s="18">
        <v>0</v>
      </c>
      <c r="O24" s="22">
        <v>0</v>
      </c>
      <c r="P24" s="22">
        <v>0</v>
      </c>
      <c r="Q24" s="18">
        <v>10</v>
      </c>
    </row>
    <row r="25" spans="1:17" s="19" customFormat="1" x14ac:dyDescent="0.3">
      <c r="A25" s="19">
        <v>24</v>
      </c>
      <c r="B25" s="38">
        <v>0</v>
      </c>
      <c r="C25" s="18">
        <v>1</v>
      </c>
      <c r="D25" s="18">
        <v>0</v>
      </c>
      <c r="E25" s="18">
        <v>26</v>
      </c>
      <c r="F25" s="18">
        <v>1</v>
      </c>
      <c r="G25" s="18">
        <v>5.5</v>
      </c>
      <c r="H25" s="19">
        <f>CONVERT(25,"ft","m")*100</f>
        <v>762</v>
      </c>
      <c r="I25" s="18">
        <f t="shared" si="1"/>
        <v>7.62</v>
      </c>
      <c r="J25" s="18">
        <f>I25*I25</f>
        <v>58.064399999999999</v>
      </c>
      <c r="K25" s="18">
        <v>55</v>
      </c>
      <c r="L25" s="19">
        <f t="shared" si="0"/>
        <v>0.94722411667045558</v>
      </c>
      <c r="M25" s="19">
        <v>0</v>
      </c>
      <c r="N25" s="18">
        <v>2</v>
      </c>
      <c r="O25" s="22">
        <v>0</v>
      </c>
      <c r="P25" s="22">
        <v>0</v>
      </c>
      <c r="Q25" s="18">
        <v>10</v>
      </c>
    </row>
    <row r="26" spans="1:17" s="19" customFormat="1" x14ac:dyDescent="0.3">
      <c r="A26" s="19">
        <v>25</v>
      </c>
      <c r="B26" s="38">
        <v>0</v>
      </c>
      <c r="C26" s="18">
        <v>1</v>
      </c>
      <c r="D26" s="18">
        <v>0</v>
      </c>
      <c r="E26" s="18">
        <v>40</v>
      </c>
      <c r="F26" s="18">
        <v>1</v>
      </c>
      <c r="G26" s="18">
        <v>5</v>
      </c>
      <c r="H26" s="19">
        <f>CONVERT(26,"ft","m")*100</f>
        <v>792.48</v>
      </c>
      <c r="I26" s="18">
        <f t="shared" si="1"/>
        <v>7.9248000000000003</v>
      </c>
      <c r="J26" s="18">
        <f>I26*I26</f>
        <v>62.802455040000005</v>
      </c>
      <c r="K26" s="18">
        <v>77</v>
      </c>
      <c r="L26" s="19">
        <f t="shared" si="0"/>
        <v>1.2260667190630896</v>
      </c>
      <c r="M26" s="19">
        <v>0</v>
      </c>
      <c r="N26" s="18">
        <v>2</v>
      </c>
      <c r="O26" s="22">
        <v>0</v>
      </c>
      <c r="P26" s="22">
        <v>0</v>
      </c>
      <c r="Q26" s="18">
        <v>10</v>
      </c>
    </row>
    <row r="27" spans="1:17" s="19" customFormat="1" x14ac:dyDescent="0.3">
      <c r="A27" s="19">
        <v>26</v>
      </c>
      <c r="B27" s="38">
        <v>0</v>
      </c>
      <c r="C27" s="18">
        <v>0</v>
      </c>
      <c r="D27" s="18">
        <v>0</v>
      </c>
      <c r="E27" s="20">
        <v>38</v>
      </c>
      <c r="F27" s="18">
        <v>1</v>
      </c>
      <c r="G27" s="18">
        <v>5.5</v>
      </c>
      <c r="H27" s="19">
        <f>CONVERT(27,"ft","m")*100</f>
        <v>822.95999999999992</v>
      </c>
      <c r="I27" s="18">
        <f t="shared" si="1"/>
        <v>8.2295999999999996</v>
      </c>
      <c r="J27" s="18">
        <f>I27*I27</f>
        <v>67.726316159999996</v>
      </c>
      <c r="K27" s="18">
        <v>58</v>
      </c>
      <c r="L27" s="19">
        <f t="shared" si="0"/>
        <v>0.85638793438842786</v>
      </c>
      <c r="M27" s="19">
        <v>0</v>
      </c>
      <c r="N27" s="18">
        <v>0</v>
      </c>
      <c r="O27" s="22">
        <v>0</v>
      </c>
      <c r="P27" s="22">
        <v>0</v>
      </c>
      <c r="Q27" s="18">
        <v>10</v>
      </c>
    </row>
    <row r="28" spans="1:17" s="19" customFormat="1" x14ac:dyDescent="0.3">
      <c r="A28" s="19">
        <v>27</v>
      </c>
      <c r="B28" s="38">
        <v>0</v>
      </c>
      <c r="C28" s="18">
        <v>1</v>
      </c>
      <c r="D28" s="18">
        <v>0</v>
      </c>
      <c r="E28" s="20">
        <v>56</v>
      </c>
      <c r="F28" s="18">
        <v>1</v>
      </c>
      <c r="G28" s="18">
        <v>5.5</v>
      </c>
      <c r="H28" s="19">
        <f>CONVERT(28,"ft","m")*100</f>
        <v>853.43999999999994</v>
      </c>
      <c r="I28" s="18">
        <f t="shared" si="1"/>
        <v>8.5343999999999998</v>
      </c>
      <c r="J28" s="18">
        <f>I28*I28</f>
        <v>72.83598336</v>
      </c>
      <c r="K28" s="18">
        <v>60</v>
      </c>
      <c r="L28" s="19">
        <f t="shared" si="0"/>
        <v>0.82376865434002977</v>
      </c>
      <c r="M28" s="19">
        <v>0</v>
      </c>
      <c r="N28" s="18">
        <v>2</v>
      </c>
      <c r="O28" s="22">
        <v>0</v>
      </c>
      <c r="P28" s="22">
        <v>0</v>
      </c>
      <c r="Q28" s="18">
        <v>10</v>
      </c>
    </row>
    <row r="29" spans="1:17" s="19" customFormat="1" x14ac:dyDescent="0.3">
      <c r="A29" s="19">
        <v>28</v>
      </c>
      <c r="B29" s="38">
        <v>0</v>
      </c>
      <c r="C29" s="18">
        <v>1</v>
      </c>
      <c r="D29" s="18">
        <v>0</v>
      </c>
      <c r="E29" s="20">
        <v>40</v>
      </c>
      <c r="F29" s="18">
        <v>1</v>
      </c>
      <c r="G29" s="18">
        <v>4.9000000000000004</v>
      </c>
      <c r="H29" s="19">
        <f>CONVERT(29,"ft","m")*100</f>
        <v>883.92</v>
      </c>
      <c r="I29" s="18">
        <f t="shared" si="1"/>
        <v>8.8391999999999999</v>
      </c>
      <c r="J29" s="18">
        <f>I29*I29</f>
        <v>78.131456639999996</v>
      </c>
      <c r="K29" s="18">
        <v>60</v>
      </c>
      <c r="L29" s="19">
        <f t="shared" si="0"/>
        <v>0.76793653389130012</v>
      </c>
      <c r="M29" s="19">
        <v>1</v>
      </c>
      <c r="N29" s="18">
        <v>2</v>
      </c>
      <c r="O29" s="22">
        <v>0</v>
      </c>
      <c r="P29" s="22">
        <v>0</v>
      </c>
      <c r="Q29" s="18">
        <v>10</v>
      </c>
    </row>
    <row r="30" spans="1:17" s="19" customFormat="1" x14ac:dyDescent="0.3">
      <c r="A30" s="19">
        <v>29</v>
      </c>
      <c r="B30" s="38">
        <v>0</v>
      </c>
      <c r="C30" s="18">
        <v>1</v>
      </c>
      <c r="D30" s="18">
        <v>0</v>
      </c>
      <c r="E30" s="20">
        <v>43</v>
      </c>
      <c r="F30" s="18">
        <v>1</v>
      </c>
      <c r="G30" s="18">
        <v>5</v>
      </c>
      <c r="H30" s="19">
        <f>CONVERT(30,"ft","m")*100</f>
        <v>914.4</v>
      </c>
      <c r="I30" s="18">
        <f t="shared" si="1"/>
        <v>9.1440000000000001</v>
      </c>
      <c r="J30" s="18">
        <f>I30*I30</f>
        <v>83.612735999999998</v>
      </c>
      <c r="K30" s="18">
        <v>60</v>
      </c>
      <c r="L30" s="19">
        <f t="shared" si="0"/>
        <v>0.71759402778064818</v>
      </c>
      <c r="M30" s="19">
        <v>0</v>
      </c>
      <c r="N30" s="18">
        <v>0</v>
      </c>
      <c r="O30" s="22">
        <v>0</v>
      </c>
      <c r="P30" s="22">
        <v>0</v>
      </c>
      <c r="Q30" s="18">
        <v>10</v>
      </c>
    </row>
    <row r="31" spans="1:17" s="19" customFormat="1" x14ac:dyDescent="0.3">
      <c r="A31" s="19">
        <v>30</v>
      </c>
      <c r="B31" s="38">
        <v>0</v>
      </c>
      <c r="C31" s="18">
        <v>1</v>
      </c>
      <c r="D31" s="18">
        <v>0</v>
      </c>
      <c r="E31" s="20">
        <v>30</v>
      </c>
      <c r="F31" s="18">
        <v>1</v>
      </c>
      <c r="G31" s="18">
        <v>5.5</v>
      </c>
      <c r="H31" s="19">
        <f>CONVERT(31,"ft","m")*100</f>
        <v>944.88</v>
      </c>
      <c r="I31" s="18">
        <f t="shared" si="1"/>
        <v>9.4488000000000003</v>
      </c>
      <c r="J31" s="18">
        <f>I31*I31</f>
        <v>89.279821440000006</v>
      </c>
      <c r="K31" s="18">
        <v>55</v>
      </c>
      <c r="L31" s="19">
        <f t="shared" si="0"/>
        <v>0.61604065860461465</v>
      </c>
      <c r="M31" s="19">
        <v>0</v>
      </c>
      <c r="N31" s="18">
        <v>0</v>
      </c>
      <c r="O31" s="22">
        <v>0</v>
      </c>
      <c r="P31" s="22">
        <v>0</v>
      </c>
      <c r="Q31" s="18">
        <v>9</v>
      </c>
    </row>
    <row r="32" spans="1:17" s="19" customFormat="1" x14ac:dyDescent="0.3">
      <c r="A32" s="19">
        <v>31</v>
      </c>
      <c r="B32" s="38">
        <v>0</v>
      </c>
      <c r="C32" s="18">
        <v>1</v>
      </c>
      <c r="D32" s="18">
        <v>0</v>
      </c>
      <c r="E32" s="20">
        <v>53</v>
      </c>
      <c r="F32" s="18">
        <v>1</v>
      </c>
      <c r="G32" s="18">
        <v>5.5</v>
      </c>
      <c r="H32" s="19">
        <f>CONVERT(32,"ft","m")*100</f>
        <v>975.36</v>
      </c>
      <c r="I32" s="18">
        <f t="shared" si="1"/>
        <v>9.7536000000000005</v>
      </c>
      <c r="J32" s="18">
        <f>I32*I32</f>
        <v>95.132712960000006</v>
      </c>
      <c r="K32" s="18">
        <v>69</v>
      </c>
      <c r="L32" s="19">
        <f t="shared" si="0"/>
        <v>0.72530255737594806</v>
      </c>
      <c r="M32" s="19">
        <v>0</v>
      </c>
      <c r="N32" s="18">
        <v>2</v>
      </c>
      <c r="O32" s="22">
        <v>0</v>
      </c>
      <c r="P32" s="22">
        <v>0</v>
      </c>
      <c r="Q32" s="18">
        <v>9</v>
      </c>
    </row>
    <row r="33" spans="1:17" s="19" customFormat="1" x14ac:dyDescent="0.3">
      <c r="A33" s="19">
        <v>32</v>
      </c>
      <c r="B33" s="38">
        <v>0</v>
      </c>
      <c r="C33" s="18">
        <v>1</v>
      </c>
      <c r="D33" s="18">
        <v>0</v>
      </c>
      <c r="E33" s="20">
        <v>54</v>
      </c>
      <c r="F33" s="18">
        <v>1</v>
      </c>
      <c r="G33" s="18">
        <v>4.9000000000000004</v>
      </c>
      <c r="H33" s="19">
        <f>CONVERT(33,"ft","m")*100</f>
        <v>1005.84</v>
      </c>
      <c r="I33" s="18">
        <f t="shared" si="1"/>
        <v>10.058400000000001</v>
      </c>
      <c r="J33" s="18">
        <f>I33*I33</f>
        <v>101.17141056000001</v>
      </c>
      <c r="K33" s="18">
        <v>78</v>
      </c>
      <c r="L33" s="19">
        <f t="shared" si="0"/>
        <v>0.77096879017755582</v>
      </c>
      <c r="M33" s="19">
        <v>0</v>
      </c>
      <c r="N33" s="18">
        <v>2</v>
      </c>
      <c r="O33" s="22">
        <v>0</v>
      </c>
      <c r="P33" s="22">
        <v>0</v>
      </c>
      <c r="Q33" s="18">
        <v>9</v>
      </c>
    </row>
    <row r="34" spans="1:17" s="19" customFormat="1" x14ac:dyDescent="0.3">
      <c r="A34" s="19">
        <v>33</v>
      </c>
      <c r="B34" s="38">
        <v>0</v>
      </c>
      <c r="C34" s="18">
        <v>1</v>
      </c>
      <c r="D34" s="18">
        <v>0</v>
      </c>
      <c r="E34" s="20">
        <v>41</v>
      </c>
      <c r="F34" s="18">
        <v>1</v>
      </c>
      <c r="G34" s="18">
        <v>5</v>
      </c>
      <c r="H34" s="19">
        <f>CONVERT(34,"ft","m")*100</f>
        <v>1036.3200000000002</v>
      </c>
      <c r="I34" s="18">
        <f t="shared" si="1"/>
        <v>10.363200000000001</v>
      </c>
      <c r="J34" s="18">
        <f>I34*I34</f>
        <v>107.39591424000002</v>
      </c>
      <c r="K34" s="18">
        <v>65</v>
      </c>
      <c r="L34" s="19">
        <f t="shared" si="0"/>
        <v>0.6052371774101486</v>
      </c>
      <c r="M34" s="19">
        <v>0</v>
      </c>
      <c r="N34" s="18">
        <v>2</v>
      </c>
      <c r="O34" s="22">
        <v>0</v>
      </c>
      <c r="P34" s="22">
        <v>0</v>
      </c>
      <c r="Q34" s="18">
        <v>9</v>
      </c>
    </row>
    <row r="35" spans="1:17" s="19" customFormat="1" x14ac:dyDescent="0.3">
      <c r="A35" s="19">
        <v>34</v>
      </c>
      <c r="B35" s="38">
        <v>0</v>
      </c>
      <c r="C35" s="18">
        <v>1</v>
      </c>
      <c r="D35" s="18">
        <v>0</v>
      </c>
      <c r="E35" s="20">
        <v>39</v>
      </c>
      <c r="F35" s="18">
        <v>1</v>
      </c>
      <c r="G35" s="18">
        <v>5.5</v>
      </c>
      <c r="H35" s="19">
        <f>CONVERT(35,"ft","m")*100</f>
        <v>1066.8</v>
      </c>
      <c r="I35" s="18">
        <f t="shared" si="1"/>
        <v>10.667999999999999</v>
      </c>
      <c r="J35" s="18">
        <f>I35*I35</f>
        <v>113.80622399999999</v>
      </c>
      <c r="K35" s="18">
        <v>68</v>
      </c>
      <c r="L35" s="19">
        <f t="shared" si="0"/>
        <v>0.59750686394796837</v>
      </c>
      <c r="M35" s="19">
        <v>0</v>
      </c>
      <c r="N35" s="18">
        <v>2</v>
      </c>
      <c r="O35" s="22">
        <v>0</v>
      </c>
      <c r="P35" s="22">
        <v>0</v>
      </c>
      <c r="Q35" s="18">
        <v>9</v>
      </c>
    </row>
    <row r="36" spans="1:17" s="19" customFormat="1" x14ac:dyDescent="0.3">
      <c r="A36" s="19">
        <v>35</v>
      </c>
      <c r="B36" s="38">
        <v>0</v>
      </c>
      <c r="C36" s="18">
        <v>2</v>
      </c>
      <c r="D36" s="18">
        <v>0</v>
      </c>
      <c r="E36" s="20">
        <v>38</v>
      </c>
      <c r="F36" s="18">
        <v>1</v>
      </c>
      <c r="G36" s="18">
        <v>5</v>
      </c>
      <c r="H36" s="19">
        <f>CONVERT(36,"ft","m")*100</f>
        <v>1097.28</v>
      </c>
      <c r="I36" s="18">
        <f t="shared" si="1"/>
        <v>10.972799999999999</v>
      </c>
      <c r="J36" s="18">
        <f>I36*I36</f>
        <v>120.40233983999998</v>
      </c>
      <c r="K36" s="18">
        <v>75</v>
      </c>
      <c r="L36" s="19">
        <f t="shared" si="0"/>
        <v>0.62291148244847938</v>
      </c>
      <c r="M36" s="19">
        <v>0</v>
      </c>
      <c r="N36" s="18">
        <v>2</v>
      </c>
      <c r="O36" s="22">
        <v>0</v>
      </c>
      <c r="P36" s="22">
        <v>0</v>
      </c>
      <c r="Q36" s="18">
        <v>9</v>
      </c>
    </row>
    <row r="37" spans="1:17" s="19" customFormat="1" x14ac:dyDescent="0.3">
      <c r="A37" s="19">
        <v>36</v>
      </c>
      <c r="B37" s="38">
        <v>0</v>
      </c>
      <c r="C37" s="18">
        <v>0</v>
      </c>
      <c r="D37" s="18">
        <v>0</v>
      </c>
      <c r="E37" s="20">
        <v>41</v>
      </c>
      <c r="F37" s="18">
        <v>1</v>
      </c>
      <c r="G37" s="18">
        <v>4.9000000000000004</v>
      </c>
      <c r="H37" s="19">
        <f>CONVERT(37,"ft","m")*100</f>
        <v>1127.76</v>
      </c>
      <c r="I37" s="18">
        <f t="shared" si="1"/>
        <v>11.2776</v>
      </c>
      <c r="J37" s="18">
        <f>I37*I37</f>
        <v>127.18426176</v>
      </c>
      <c r="K37" s="18">
        <v>60</v>
      </c>
      <c r="L37" s="19">
        <f t="shared" si="0"/>
        <v>0.47175648283607258</v>
      </c>
      <c r="M37" s="19">
        <v>0</v>
      </c>
      <c r="N37" s="18">
        <v>0</v>
      </c>
      <c r="O37" s="22">
        <v>0</v>
      </c>
      <c r="P37" s="22">
        <v>0</v>
      </c>
      <c r="Q37" s="18">
        <v>9</v>
      </c>
    </row>
    <row r="38" spans="1:17" s="19" customFormat="1" x14ac:dyDescent="0.3">
      <c r="A38" s="19">
        <v>37</v>
      </c>
      <c r="B38" s="38">
        <v>0</v>
      </c>
      <c r="C38" s="18">
        <v>1</v>
      </c>
      <c r="D38" s="18">
        <v>0</v>
      </c>
      <c r="E38" s="20">
        <v>25</v>
      </c>
      <c r="F38" s="18">
        <v>1</v>
      </c>
      <c r="G38" s="18">
        <v>5.5</v>
      </c>
      <c r="H38" s="19">
        <f>CONVERT(38,"ft","m")*100</f>
        <v>1158.24</v>
      </c>
      <c r="I38" s="18">
        <f t="shared" si="1"/>
        <v>11.5824</v>
      </c>
      <c r="J38" s="18">
        <f>I38*I38</f>
        <v>134.15198975999999</v>
      </c>
      <c r="K38" s="18">
        <v>70</v>
      </c>
      <c r="L38" s="19">
        <f t="shared" si="0"/>
        <v>0.52179621133634391</v>
      </c>
      <c r="M38" s="19">
        <v>1</v>
      </c>
      <c r="N38" s="18">
        <v>0</v>
      </c>
      <c r="O38" s="22">
        <v>0</v>
      </c>
      <c r="P38" s="22">
        <v>0</v>
      </c>
      <c r="Q38" s="18">
        <v>9</v>
      </c>
    </row>
    <row r="39" spans="1:17" s="19" customFormat="1" x14ac:dyDescent="0.3">
      <c r="A39" s="19">
        <v>38</v>
      </c>
      <c r="B39" s="38">
        <v>0</v>
      </c>
      <c r="C39" s="18">
        <v>0</v>
      </c>
      <c r="D39" s="18">
        <v>0</v>
      </c>
      <c r="E39" s="20">
        <v>56</v>
      </c>
      <c r="F39" s="18">
        <v>7</v>
      </c>
      <c r="G39" s="18">
        <v>4.9000000000000004</v>
      </c>
      <c r="H39" s="19">
        <f>CONVERT(39,"ft","m")*100</f>
        <v>1188.72</v>
      </c>
      <c r="I39" s="18">
        <f t="shared" si="1"/>
        <v>11.8872</v>
      </c>
      <c r="J39" s="18">
        <f>I39*I39</f>
        <v>141.30552384000001</v>
      </c>
      <c r="K39" s="18">
        <v>80</v>
      </c>
      <c r="L39" s="19">
        <f t="shared" si="0"/>
        <v>0.56614913434370662</v>
      </c>
      <c r="M39" s="19">
        <v>1</v>
      </c>
      <c r="N39" s="18">
        <v>0</v>
      </c>
      <c r="O39" s="22">
        <v>0</v>
      </c>
      <c r="P39" s="22">
        <v>0</v>
      </c>
      <c r="Q39" s="18">
        <v>11</v>
      </c>
    </row>
    <row r="40" spans="1:17" s="19" customFormat="1" x14ac:dyDescent="0.3">
      <c r="A40" s="19">
        <v>39</v>
      </c>
      <c r="B40" s="38">
        <v>0</v>
      </c>
      <c r="C40" s="18">
        <v>1</v>
      </c>
      <c r="D40" s="18">
        <v>0</v>
      </c>
      <c r="E40" s="20">
        <v>32</v>
      </c>
      <c r="F40" s="18">
        <v>1</v>
      </c>
      <c r="G40" s="18">
        <v>4.9000000000000004</v>
      </c>
      <c r="H40" s="19">
        <f>CONVERT(40,"ft","m")*100</f>
        <v>1219.2</v>
      </c>
      <c r="I40" s="18">
        <f t="shared" si="1"/>
        <v>12.192</v>
      </c>
      <c r="J40" s="18">
        <f>I40*I40</f>
        <v>148.64486400000001</v>
      </c>
      <c r="K40" s="18">
        <v>90</v>
      </c>
      <c r="L40" s="19">
        <f t="shared" si="0"/>
        <v>0.60546996093992178</v>
      </c>
      <c r="M40" s="19">
        <v>0</v>
      </c>
      <c r="N40" s="18">
        <v>0</v>
      </c>
      <c r="O40" s="22">
        <v>0</v>
      </c>
      <c r="P40" s="22">
        <v>0</v>
      </c>
      <c r="Q40" s="18">
        <v>11</v>
      </c>
    </row>
    <row r="41" spans="1:17" s="19" customFormat="1" x14ac:dyDescent="0.3">
      <c r="A41" s="19">
        <v>40</v>
      </c>
      <c r="B41" s="38">
        <v>0</v>
      </c>
      <c r="C41" s="18">
        <v>1</v>
      </c>
      <c r="D41" s="18">
        <v>0</v>
      </c>
      <c r="E41" s="20">
        <v>59</v>
      </c>
      <c r="F41" s="18">
        <v>1</v>
      </c>
      <c r="G41" s="18">
        <v>6</v>
      </c>
      <c r="H41" s="19">
        <f>CONVERT(41,"ft","m")*100</f>
        <v>1249.68</v>
      </c>
      <c r="I41" s="18">
        <f t="shared" si="1"/>
        <v>12.4968</v>
      </c>
      <c r="J41" s="18">
        <f>I41*I41</f>
        <v>156.17001024000001</v>
      </c>
      <c r="K41" s="18">
        <v>65</v>
      </c>
      <c r="L41" s="19">
        <f t="shared" si="0"/>
        <v>0.41621307381685418</v>
      </c>
      <c r="M41" s="19">
        <v>0</v>
      </c>
      <c r="N41" s="18">
        <v>2</v>
      </c>
      <c r="O41" s="22">
        <v>0</v>
      </c>
      <c r="P41" s="22">
        <v>0</v>
      </c>
      <c r="Q41" s="18">
        <v>11</v>
      </c>
    </row>
    <row r="42" spans="1:17" s="19" customFormat="1" x14ac:dyDescent="0.3">
      <c r="A42" s="19">
        <v>41</v>
      </c>
      <c r="B42" s="38">
        <v>0</v>
      </c>
      <c r="C42" s="18">
        <v>1</v>
      </c>
      <c r="D42" s="18">
        <v>0</v>
      </c>
      <c r="E42" s="20">
        <v>27</v>
      </c>
      <c r="F42" s="18">
        <v>1</v>
      </c>
      <c r="G42" s="18">
        <v>5.5</v>
      </c>
      <c r="H42" s="19">
        <f>CONVERT(42,"ft","m")*100</f>
        <v>1280.1600000000001</v>
      </c>
      <c r="I42" s="18">
        <f t="shared" si="1"/>
        <v>12.801600000000001</v>
      </c>
      <c r="J42" s="18">
        <f>I42*I42</f>
        <v>163.88096256</v>
      </c>
      <c r="K42" s="18">
        <v>65</v>
      </c>
      <c r="L42" s="19">
        <f t="shared" si="0"/>
        <v>0.39662935208964395</v>
      </c>
      <c r="M42" s="19">
        <v>0</v>
      </c>
      <c r="N42" s="18">
        <v>2</v>
      </c>
      <c r="O42" s="22">
        <v>0</v>
      </c>
      <c r="P42" s="22">
        <v>0</v>
      </c>
      <c r="Q42" s="18">
        <v>11</v>
      </c>
    </row>
    <row r="43" spans="1:17" s="19" customFormat="1" x14ac:dyDescent="0.3">
      <c r="A43" s="19">
        <v>42</v>
      </c>
      <c r="B43" s="38">
        <v>0</v>
      </c>
      <c r="C43" s="18">
        <v>1</v>
      </c>
      <c r="D43" s="18">
        <v>0</v>
      </c>
      <c r="E43" s="20">
        <v>67</v>
      </c>
      <c r="F43" s="18">
        <v>1</v>
      </c>
      <c r="G43" s="18">
        <v>5.3</v>
      </c>
      <c r="H43" s="19">
        <f>CONVERT(43,"ft","m")*100</f>
        <v>1310.6400000000001</v>
      </c>
      <c r="I43" s="18">
        <f t="shared" si="1"/>
        <v>13.106400000000001</v>
      </c>
      <c r="J43" s="18">
        <f>I43*I43</f>
        <v>171.77772096000001</v>
      </c>
      <c r="K43" s="18">
        <v>68</v>
      </c>
      <c r="L43" s="19">
        <f t="shared" si="0"/>
        <v>0.39586041554151491</v>
      </c>
      <c r="M43" s="19">
        <v>0</v>
      </c>
      <c r="N43" s="18">
        <v>2</v>
      </c>
      <c r="O43" s="22">
        <v>0</v>
      </c>
      <c r="P43" s="22">
        <v>0</v>
      </c>
      <c r="Q43" s="18">
        <v>11</v>
      </c>
    </row>
    <row r="44" spans="1:17" s="19" customFormat="1" x14ac:dyDescent="0.3">
      <c r="A44" s="19">
        <v>43</v>
      </c>
      <c r="B44" s="38">
        <v>0</v>
      </c>
      <c r="C44" s="18">
        <v>1</v>
      </c>
      <c r="D44" s="18">
        <v>0</v>
      </c>
      <c r="E44" s="20">
        <v>26</v>
      </c>
      <c r="F44" s="18">
        <v>1</v>
      </c>
      <c r="G44" s="18">
        <v>4.9000000000000004</v>
      </c>
      <c r="H44" s="19">
        <f>CONVERT(44,"ft","m")*100</f>
        <v>1341.12</v>
      </c>
      <c r="I44" s="18">
        <f t="shared" si="1"/>
        <v>13.411199999999999</v>
      </c>
      <c r="J44" s="18">
        <f>I44*I44</f>
        <v>179.86028543999998</v>
      </c>
      <c r="K44" s="18">
        <v>70</v>
      </c>
      <c r="L44" s="19">
        <f t="shared" si="0"/>
        <v>0.38919097581078543</v>
      </c>
      <c r="M44" s="19">
        <v>0</v>
      </c>
      <c r="N44" s="18">
        <v>0</v>
      </c>
      <c r="O44" s="22">
        <v>0</v>
      </c>
      <c r="P44" s="22">
        <v>0</v>
      </c>
      <c r="Q44" s="18">
        <v>11</v>
      </c>
    </row>
    <row r="45" spans="1:17" s="19" customFormat="1" x14ac:dyDescent="0.3">
      <c r="A45" s="19">
        <v>44</v>
      </c>
      <c r="B45" s="38">
        <v>0</v>
      </c>
      <c r="C45" s="18">
        <v>0</v>
      </c>
      <c r="D45" s="18">
        <v>0</v>
      </c>
      <c r="E45" s="20">
        <v>46</v>
      </c>
      <c r="F45" s="18">
        <v>1</v>
      </c>
      <c r="G45" s="18">
        <v>5.5</v>
      </c>
      <c r="H45" s="19">
        <f>CONVERT(45,"ft","m")*100</f>
        <v>1371.6</v>
      </c>
      <c r="I45" s="18">
        <f t="shared" si="1"/>
        <v>13.715999999999999</v>
      </c>
      <c r="J45" s="18">
        <f>I45*I45</f>
        <v>188.12865599999998</v>
      </c>
      <c r="K45" s="18">
        <v>55</v>
      </c>
      <c r="L45" s="19">
        <f t="shared" si="0"/>
        <v>0.29235312242915301</v>
      </c>
      <c r="M45" s="19">
        <v>0</v>
      </c>
      <c r="N45" s="18">
        <v>0</v>
      </c>
      <c r="O45" s="22">
        <v>0</v>
      </c>
      <c r="P45" s="22">
        <v>0</v>
      </c>
      <c r="Q45" s="18">
        <v>11</v>
      </c>
    </row>
    <row r="46" spans="1:17" s="19" customFormat="1" x14ac:dyDescent="0.3">
      <c r="A46" s="19">
        <v>45</v>
      </c>
      <c r="B46" s="38">
        <v>0</v>
      </c>
      <c r="C46" s="18">
        <v>1</v>
      </c>
      <c r="D46" s="18">
        <v>0</v>
      </c>
      <c r="E46" s="20">
        <v>39</v>
      </c>
      <c r="F46" s="18">
        <v>1</v>
      </c>
      <c r="G46" s="18">
        <v>5.3</v>
      </c>
      <c r="H46" s="19">
        <f>CONVERT(46,"ft","m")*100</f>
        <v>1402.08</v>
      </c>
      <c r="I46" s="18">
        <f t="shared" si="1"/>
        <v>14.020799999999999</v>
      </c>
      <c r="J46" s="18">
        <f>I46*I46</f>
        <v>196.58283263999999</v>
      </c>
      <c r="K46" s="18">
        <v>55</v>
      </c>
      <c r="L46" s="19">
        <f t="shared" si="0"/>
        <v>0.27978028020748336</v>
      </c>
      <c r="M46" s="19">
        <v>0</v>
      </c>
      <c r="N46" s="18">
        <v>0</v>
      </c>
      <c r="O46" s="22">
        <v>0</v>
      </c>
      <c r="P46" s="22">
        <v>0</v>
      </c>
      <c r="Q46" s="18">
        <v>11</v>
      </c>
    </row>
    <row r="47" spans="1:17" s="19" customFormat="1" x14ac:dyDescent="0.3">
      <c r="A47" s="19">
        <v>46</v>
      </c>
      <c r="B47" s="38">
        <v>0</v>
      </c>
      <c r="C47" s="18">
        <v>1</v>
      </c>
      <c r="D47" s="18">
        <v>0</v>
      </c>
      <c r="E47" s="20">
        <v>35</v>
      </c>
      <c r="F47" s="18">
        <v>1</v>
      </c>
      <c r="G47" s="18">
        <v>5.5</v>
      </c>
      <c r="H47" s="19">
        <f>CONVERT(47,"ft","m")*100</f>
        <v>1432.56</v>
      </c>
      <c r="I47" s="18">
        <f t="shared" si="1"/>
        <v>14.3256</v>
      </c>
      <c r="J47" s="18">
        <f>I47*I47</f>
        <v>205.22281536</v>
      </c>
      <c r="K47" s="18">
        <v>67</v>
      </c>
      <c r="L47" s="19">
        <f t="shared" si="0"/>
        <v>0.3264744218739481</v>
      </c>
      <c r="M47" s="19">
        <v>0</v>
      </c>
      <c r="N47" s="18">
        <v>2</v>
      </c>
      <c r="O47" s="22">
        <v>0</v>
      </c>
      <c r="P47" s="22">
        <v>0</v>
      </c>
      <c r="Q47" s="18">
        <v>10</v>
      </c>
    </row>
    <row r="48" spans="1:17" s="19" customFormat="1" x14ac:dyDescent="0.3">
      <c r="A48" s="19">
        <v>47</v>
      </c>
      <c r="B48" s="38">
        <v>0</v>
      </c>
      <c r="C48" s="18">
        <v>1</v>
      </c>
      <c r="D48" s="18">
        <v>0</v>
      </c>
      <c r="E48" s="20">
        <v>31</v>
      </c>
      <c r="F48" s="18">
        <v>1</v>
      </c>
      <c r="G48" s="18">
        <v>4.9000000000000004</v>
      </c>
      <c r="H48" s="19">
        <f>CONVERT(48,"ft","m")*100</f>
        <v>1463.04</v>
      </c>
      <c r="I48" s="18">
        <f t="shared" si="1"/>
        <v>14.6304</v>
      </c>
      <c r="J48" s="18">
        <f>I48*I48</f>
        <v>214.04860416</v>
      </c>
      <c r="K48" s="18">
        <v>68</v>
      </c>
      <c r="L48" s="19">
        <f t="shared" si="0"/>
        <v>0.31768485604872443</v>
      </c>
      <c r="M48" s="19">
        <v>0</v>
      </c>
      <c r="N48" s="18">
        <v>2</v>
      </c>
      <c r="O48" s="22">
        <v>0</v>
      </c>
      <c r="P48" s="22">
        <v>0</v>
      </c>
      <c r="Q48" s="18">
        <v>10</v>
      </c>
    </row>
    <row r="49" spans="1:17" s="19" customFormat="1" x14ac:dyDescent="0.3">
      <c r="A49" s="19">
        <v>48</v>
      </c>
      <c r="B49" s="38">
        <v>0</v>
      </c>
      <c r="C49" s="18">
        <v>2</v>
      </c>
      <c r="D49" s="18">
        <v>0</v>
      </c>
      <c r="E49" s="20">
        <v>31</v>
      </c>
      <c r="F49" s="18">
        <v>1</v>
      </c>
      <c r="G49" s="18">
        <v>5.5</v>
      </c>
      <c r="H49" s="19">
        <f>CONVERT(49,"ft","m")*100</f>
        <v>1493.52</v>
      </c>
      <c r="I49" s="18">
        <f t="shared" si="1"/>
        <v>14.9352</v>
      </c>
      <c r="J49" s="18">
        <f>I49*I49</f>
        <v>223.06019904000001</v>
      </c>
      <c r="K49" s="18">
        <v>69</v>
      </c>
      <c r="L49" s="19">
        <f t="shared" si="0"/>
        <v>0.30933353550727649</v>
      </c>
      <c r="M49" s="19">
        <v>0</v>
      </c>
      <c r="N49" s="18">
        <v>0</v>
      </c>
      <c r="O49" s="22">
        <v>0</v>
      </c>
      <c r="P49" s="22">
        <v>0</v>
      </c>
      <c r="Q49" s="18">
        <v>10</v>
      </c>
    </row>
    <row r="50" spans="1:17" s="19" customFormat="1" x14ac:dyDescent="0.3">
      <c r="A50" s="19">
        <v>49</v>
      </c>
      <c r="B50" s="38">
        <v>0</v>
      </c>
      <c r="C50" s="18">
        <v>1</v>
      </c>
      <c r="D50" s="18">
        <v>0</v>
      </c>
      <c r="E50" s="20">
        <v>24</v>
      </c>
      <c r="F50" s="18">
        <v>1</v>
      </c>
      <c r="G50" s="18">
        <v>5</v>
      </c>
      <c r="H50" s="19">
        <f>CONVERT(50,"ft","m")*100</f>
        <v>1524</v>
      </c>
      <c r="I50" s="18">
        <f t="shared" si="1"/>
        <v>15.24</v>
      </c>
      <c r="J50" s="18">
        <f>I50*I50</f>
        <v>232.2576</v>
      </c>
      <c r="K50" s="18">
        <v>80</v>
      </c>
      <c r="L50" s="19">
        <f t="shared" si="0"/>
        <v>0.34444513333471111</v>
      </c>
      <c r="M50" s="19">
        <v>0</v>
      </c>
      <c r="N50" s="18">
        <v>0</v>
      </c>
      <c r="O50" s="22">
        <v>0</v>
      </c>
      <c r="P50" s="22">
        <v>0</v>
      </c>
      <c r="Q50" s="18">
        <v>10</v>
      </c>
    </row>
    <row r="51" spans="1:17" s="19" customFormat="1" x14ac:dyDescent="0.3">
      <c r="A51" s="19">
        <v>50</v>
      </c>
      <c r="B51" s="38">
        <v>0</v>
      </c>
      <c r="C51" s="18">
        <v>0</v>
      </c>
      <c r="D51" s="18">
        <v>0</v>
      </c>
      <c r="E51" s="20">
        <v>34</v>
      </c>
      <c r="F51" s="18">
        <v>1</v>
      </c>
      <c r="G51" s="18">
        <v>5.5</v>
      </c>
      <c r="H51" s="19">
        <f>CONVERT(51,"ft","m")*100</f>
        <v>1554.48</v>
      </c>
      <c r="I51" s="18">
        <f t="shared" si="1"/>
        <v>15.5448</v>
      </c>
      <c r="J51" s="18">
        <f>I51*I51</f>
        <v>241.64080704</v>
      </c>
      <c r="K51" s="18">
        <v>90</v>
      </c>
      <c r="L51" s="19">
        <f t="shared" si="0"/>
        <v>0.37245364763701461</v>
      </c>
      <c r="M51" s="19">
        <v>0</v>
      </c>
      <c r="N51" s="18">
        <v>0</v>
      </c>
      <c r="O51" s="22">
        <v>0</v>
      </c>
      <c r="P51" s="22">
        <v>0</v>
      </c>
      <c r="Q51" s="18">
        <v>10</v>
      </c>
    </row>
    <row r="52" spans="1:17" s="19" customFormat="1" x14ac:dyDescent="0.3">
      <c r="A52" s="19">
        <v>51</v>
      </c>
      <c r="B52" s="38">
        <v>0</v>
      </c>
      <c r="C52" s="18">
        <v>0</v>
      </c>
      <c r="D52" s="18">
        <v>0</v>
      </c>
      <c r="E52" s="20">
        <v>24</v>
      </c>
      <c r="F52" s="18">
        <v>1</v>
      </c>
      <c r="G52" s="18">
        <v>5.5</v>
      </c>
      <c r="H52" s="19">
        <f>CONVERT(52,"ft","m")*100</f>
        <v>1584.96</v>
      </c>
      <c r="I52" s="18">
        <f t="shared" si="1"/>
        <v>15.849600000000001</v>
      </c>
      <c r="J52" s="18">
        <f>I52*I52</f>
        <v>251.20982016000002</v>
      </c>
      <c r="K52" s="18">
        <v>60</v>
      </c>
      <c r="L52" s="19">
        <f t="shared" si="0"/>
        <v>0.23884416605125122</v>
      </c>
      <c r="M52" s="19">
        <v>0</v>
      </c>
      <c r="N52" s="18">
        <v>0</v>
      </c>
      <c r="O52" s="22">
        <v>0</v>
      </c>
      <c r="P52" s="22">
        <v>0</v>
      </c>
      <c r="Q52" s="18">
        <v>10</v>
      </c>
    </row>
    <row r="53" spans="1:17" s="19" customFormat="1" x14ac:dyDescent="0.3">
      <c r="A53" s="19">
        <v>52</v>
      </c>
      <c r="B53" s="38">
        <v>0</v>
      </c>
      <c r="C53" s="18">
        <v>1</v>
      </c>
      <c r="D53" s="18">
        <v>0</v>
      </c>
      <c r="E53" s="20">
        <v>34</v>
      </c>
      <c r="F53" s="18">
        <v>1</v>
      </c>
      <c r="G53" s="18">
        <v>4.9000000000000004</v>
      </c>
      <c r="H53" s="19">
        <f>CONVERT(53,"ft","m")*100</f>
        <v>1615.4399999999998</v>
      </c>
      <c r="I53" s="18">
        <f t="shared" si="1"/>
        <v>16.154399999999999</v>
      </c>
      <c r="J53" s="18">
        <f>I53*I53</f>
        <v>260.96463935999998</v>
      </c>
      <c r="K53" s="18">
        <v>66</v>
      </c>
      <c r="L53" s="19">
        <f t="shared" si="0"/>
        <v>0.25290782751970159</v>
      </c>
      <c r="M53" s="19">
        <v>1</v>
      </c>
      <c r="N53" s="18">
        <v>0</v>
      </c>
      <c r="O53" s="22">
        <v>0</v>
      </c>
      <c r="P53" s="22">
        <v>0</v>
      </c>
      <c r="Q53" s="18">
        <v>10</v>
      </c>
    </row>
    <row r="54" spans="1:17" s="19" customFormat="1" x14ac:dyDescent="0.3">
      <c r="A54" s="19">
        <v>53</v>
      </c>
      <c r="B54" s="38">
        <v>0</v>
      </c>
      <c r="C54" s="18">
        <v>1</v>
      </c>
      <c r="D54" s="18">
        <v>0</v>
      </c>
      <c r="E54" s="20">
        <v>54</v>
      </c>
      <c r="F54" s="18">
        <v>1</v>
      </c>
      <c r="G54" s="18">
        <v>5</v>
      </c>
      <c r="H54" s="19">
        <f>CONVERT(54,"ft","m")*100</f>
        <v>1645.9199999999998</v>
      </c>
      <c r="I54" s="18">
        <f t="shared" si="1"/>
        <v>16.459199999999999</v>
      </c>
      <c r="J54" s="18">
        <f>I54*I54</f>
        <v>270.90526463999998</v>
      </c>
      <c r="K54" s="18">
        <v>70</v>
      </c>
      <c r="L54" s="19">
        <f t="shared" si="0"/>
        <v>0.25839291123788771</v>
      </c>
      <c r="M54" s="19">
        <v>1</v>
      </c>
      <c r="N54" s="18">
        <v>2</v>
      </c>
      <c r="O54" s="22">
        <v>0</v>
      </c>
      <c r="P54" s="22">
        <v>0</v>
      </c>
      <c r="Q54" s="18">
        <v>10</v>
      </c>
    </row>
    <row r="55" spans="1:17" s="19" customFormat="1" x14ac:dyDescent="0.3">
      <c r="A55" s="19">
        <v>54</v>
      </c>
      <c r="B55" s="38">
        <v>0</v>
      </c>
      <c r="C55" s="18">
        <v>1</v>
      </c>
      <c r="D55" s="18">
        <v>0</v>
      </c>
      <c r="E55" s="20">
        <v>38</v>
      </c>
      <c r="F55" s="18">
        <v>1</v>
      </c>
      <c r="G55" s="18">
        <v>5.5</v>
      </c>
      <c r="H55" s="19">
        <f>CONVERT(55,"ft","m")*100</f>
        <v>1676.3999999999999</v>
      </c>
      <c r="I55" s="18">
        <f t="shared" si="1"/>
        <v>16.763999999999999</v>
      </c>
      <c r="J55" s="18">
        <f>I55*I55</f>
        <v>281.03169599999995</v>
      </c>
      <c r="K55" s="18">
        <v>55</v>
      </c>
      <c r="L55" s="19">
        <f t="shared" si="0"/>
        <v>0.195707462121995</v>
      </c>
      <c r="M55" s="19">
        <v>1</v>
      </c>
      <c r="N55" s="18">
        <v>2</v>
      </c>
      <c r="O55" s="22">
        <v>0</v>
      </c>
      <c r="P55" s="22">
        <v>0</v>
      </c>
      <c r="Q55" s="18">
        <v>10</v>
      </c>
    </row>
    <row r="56" spans="1:17" s="19" customFormat="1" x14ac:dyDescent="0.3">
      <c r="A56" s="19">
        <v>55</v>
      </c>
      <c r="B56" s="38">
        <v>0</v>
      </c>
      <c r="C56" s="18">
        <v>1</v>
      </c>
      <c r="D56" s="18">
        <v>0</v>
      </c>
      <c r="E56" s="20">
        <v>65</v>
      </c>
      <c r="F56" s="18">
        <v>12</v>
      </c>
      <c r="G56" s="18">
        <v>5.5</v>
      </c>
      <c r="H56" s="19">
        <f>CONVERT(56,"ft","m")*100</f>
        <v>1706.8799999999999</v>
      </c>
      <c r="I56" s="18">
        <f t="shared" si="1"/>
        <v>17.0688</v>
      </c>
      <c r="J56" s="18">
        <f>I56*I56</f>
        <v>291.34393344</v>
      </c>
      <c r="K56" s="18">
        <v>55</v>
      </c>
      <c r="L56" s="19">
        <f t="shared" si="0"/>
        <v>0.18878031661959016</v>
      </c>
      <c r="M56" s="19">
        <v>1</v>
      </c>
      <c r="N56" s="18">
        <v>2</v>
      </c>
      <c r="O56" s="22">
        <v>0</v>
      </c>
      <c r="P56" s="22">
        <v>0</v>
      </c>
      <c r="Q56" s="18">
        <v>10</v>
      </c>
    </row>
    <row r="57" spans="1:17" s="19" customFormat="1" x14ac:dyDescent="0.3">
      <c r="A57" s="19">
        <v>56</v>
      </c>
      <c r="B57" s="38">
        <v>0</v>
      </c>
      <c r="C57" s="18">
        <v>1</v>
      </c>
      <c r="D57" s="18">
        <v>0</v>
      </c>
      <c r="E57" s="20">
        <v>35</v>
      </c>
      <c r="F57" s="18">
        <v>1</v>
      </c>
      <c r="G57" s="18">
        <v>4.9000000000000004</v>
      </c>
      <c r="H57" s="19">
        <f>CONVERT(57,"ft","m")*100</f>
        <v>1737.36</v>
      </c>
      <c r="I57" s="18">
        <f t="shared" si="1"/>
        <v>17.3736</v>
      </c>
      <c r="J57" s="18">
        <f>I57*I57</f>
        <v>301.84197696000001</v>
      </c>
      <c r="K57" s="18">
        <v>67</v>
      </c>
      <c r="L57" s="19">
        <f t="shared" si="0"/>
        <v>0.22197045180657168</v>
      </c>
      <c r="M57" s="19">
        <v>1</v>
      </c>
      <c r="N57" s="18">
        <v>2</v>
      </c>
      <c r="O57" s="22">
        <v>0</v>
      </c>
      <c r="P57" s="22">
        <v>0</v>
      </c>
      <c r="Q57" s="18">
        <v>10</v>
      </c>
    </row>
    <row r="58" spans="1:17" s="19" customFormat="1" x14ac:dyDescent="0.3">
      <c r="A58" s="19">
        <v>57</v>
      </c>
      <c r="B58" s="38">
        <v>0</v>
      </c>
      <c r="C58" s="18">
        <v>2</v>
      </c>
      <c r="D58" s="18">
        <v>0</v>
      </c>
      <c r="E58" s="20">
        <v>36</v>
      </c>
      <c r="F58" s="18">
        <v>1</v>
      </c>
      <c r="G58" s="18">
        <v>5</v>
      </c>
      <c r="H58" s="19">
        <f>CONVERT(58,"ft","m")*100</f>
        <v>1767.84</v>
      </c>
      <c r="I58" s="18">
        <f t="shared" si="1"/>
        <v>17.6784</v>
      </c>
      <c r="J58" s="18">
        <f>I58*I58</f>
        <v>312.52582655999998</v>
      </c>
      <c r="K58" s="18">
        <v>68</v>
      </c>
      <c r="L58" s="19">
        <f t="shared" si="0"/>
        <v>0.21758201793586834</v>
      </c>
      <c r="M58" s="19">
        <v>1</v>
      </c>
      <c r="N58" s="18">
        <v>2</v>
      </c>
      <c r="O58" s="22">
        <v>0</v>
      </c>
      <c r="P58" s="22">
        <v>0</v>
      </c>
      <c r="Q58" s="18">
        <v>10</v>
      </c>
    </row>
    <row r="59" spans="1:17" s="19" customFormat="1" x14ac:dyDescent="0.3">
      <c r="A59" s="19">
        <v>58</v>
      </c>
      <c r="B59" s="38">
        <v>0</v>
      </c>
      <c r="C59" s="18">
        <v>0</v>
      </c>
      <c r="D59" s="18">
        <v>0</v>
      </c>
      <c r="E59" s="20">
        <v>28</v>
      </c>
      <c r="F59" s="18">
        <v>1</v>
      </c>
      <c r="G59" s="18">
        <v>5.5</v>
      </c>
      <c r="H59" s="19">
        <f>CONVERT(59,"ft","m")*100</f>
        <v>1798.32</v>
      </c>
      <c r="I59" s="18">
        <f t="shared" si="1"/>
        <v>17.9832</v>
      </c>
      <c r="J59" s="18">
        <f>I59*I59</f>
        <v>323.39548223999998</v>
      </c>
      <c r="K59" s="18">
        <v>69</v>
      </c>
      <c r="L59" s="19">
        <f t="shared" si="0"/>
        <v>0.2133610510637664</v>
      </c>
      <c r="M59" s="19">
        <v>1</v>
      </c>
      <c r="N59" s="18">
        <v>2</v>
      </c>
      <c r="O59" s="22">
        <v>0</v>
      </c>
      <c r="P59" s="22">
        <v>0</v>
      </c>
      <c r="Q59" s="18">
        <v>10</v>
      </c>
    </row>
    <row r="60" spans="1:17" s="19" customFormat="1" x14ac:dyDescent="0.3">
      <c r="A60" s="19">
        <v>59</v>
      </c>
      <c r="B60" s="38">
        <v>0</v>
      </c>
      <c r="C60" s="18">
        <v>1</v>
      </c>
      <c r="D60" s="18">
        <v>0</v>
      </c>
      <c r="E60" s="20">
        <v>31</v>
      </c>
      <c r="F60" s="18">
        <v>1</v>
      </c>
      <c r="G60" s="18">
        <v>5</v>
      </c>
      <c r="H60" s="19">
        <f>CONVERT(60,"ft","m")*100</f>
        <v>1828.8</v>
      </c>
      <c r="I60" s="18">
        <f t="shared" si="1"/>
        <v>18.288</v>
      </c>
      <c r="J60" s="18">
        <f>I60*I60</f>
        <v>334.45094399999999</v>
      </c>
      <c r="K60" s="18">
        <v>80</v>
      </c>
      <c r="L60" s="19">
        <f t="shared" si="0"/>
        <v>0.23919800926021606</v>
      </c>
      <c r="M60" s="19">
        <v>1</v>
      </c>
      <c r="N60" s="18">
        <v>0</v>
      </c>
      <c r="O60" s="22">
        <v>0</v>
      </c>
      <c r="P60" s="22">
        <v>0</v>
      </c>
      <c r="Q60" s="18">
        <v>10</v>
      </c>
    </row>
    <row r="61" spans="1:17" s="19" customFormat="1" x14ac:dyDescent="0.3">
      <c r="A61" s="19">
        <v>60</v>
      </c>
      <c r="B61" s="38">
        <v>0</v>
      </c>
      <c r="C61" s="18">
        <v>0</v>
      </c>
      <c r="D61" s="18">
        <v>0</v>
      </c>
      <c r="E61" s="20">
        <v>41</v>
      </c>
      <c r="F61" s="18">
        <v>1</v>
      </c>
      <c r="G61" s="18">
        <v>4.9000000000000004</v>
      </c>
      <c r="H61" s="19">
        <f>CONVERT(61,"ft","m")*100</f>
        <v>1859.28</v>
      </c>
      <c r="I61" s="18">
        <f t="shared" si="1"/>
        <v>18.5928</v>
      </c>
      <c r="J61" s="18">
        <f>I61*I61</f>
        <v>345.69221184000003</v>
      </c>
      <c r="K61" s="18">
        <v>90</v>
      </c>
      <c r="L61" s="19">
        <f t="shared" si="0"/>
        <v>0.26034720169413461</v>
      </c>
      <c r="M61" s="19">
        <v>0</v>
      </c>
      <c r="N61" s="18">
        <v>0</v>
      </c>
      <c r="O61" s="22">
        <v>0</v>
      </c>
      <c r="P61" s="22">
        <v>0</v>
      </c>
      <c r="Q61" s="18">
        <v>10</v>
      </c>
    </row>
    <row r="62" spans="1:17" s="19" customFormat="1" x14ac:dyDescent="0.3">
      <c r="A62" s="19">
        <v>61</v>
      </c>
      <c r="B62" s="38">
        <v>0</v>
      </c>
      <c r="C62" s="18">
        <v>0</v>
      </c>
      <c r="D62" s="18">
        <v>0</v>
      </c>
      <c r="E62" s="20">
        <v>21</v>
      </c>
      <c r="F62" s="18">
        <v>1</v>
      </c>
      <c r="G62" s="18">
        <v>5.5</v>
      </c>
      <c r="H62" s="19">
        <f>CONVERT(62,"ft","m")*100</f>
        <v>1889.76</v>
      </c>
      <c r="I62" s="18">
        <f t="shared" si="1"/>
        <v>18.897600000000001</v>
      </c>
      <c r="J62" s="18">
        <f>I62*I62</f>
        <v>357.11928576000003</v>
      </c>
      <c r="K62" s="18">
        <v>60</v>
      </c>
      <c r="L62" s="19">
        <f t="shared" si="0"/>
        <v>0.16801108871034945</v>
      </c>
      <c r="M62" s="19">
        <v>0</v>
      </c>
      <c r="N62" s="18">
        <v>0</v>
      </c>
      <c r="O62" s="22">
        <v>0</v>
      </c>
      <c r="P62" s="22">
        <v>0</v>
      </c>
      <c r="Q62" s="18">
        <v>10</v>
      </c>
    </row>
    <row r="63" spans="1:17" s="19" customFormat="1" x14ac:dyDescent="0.3">
      <c r="A63" s="19">
        <v>62</v>
      </c>
      <c r="B63" s="38">
        <v>0</v>
      </c>
      <c r="C63" s="18">
        <v>1</v>
      </c>
      <c r="D63" s="18">
        <v>0</v>
      </c>
      <c r="E63" s="18">
        <v>51</v>
      </c>
      <c r="F63" s="18">
        <v>1</v>
      </c>
      <c r="G63" s="18">
        <v>4.9000000000000004</v>
      </c>
      <c r="H63" s="19">
        <f>CONVERT(63,"ft","m")*100</f>
        <v>1920.24</v>
      </c>
      <c r="I63" s="18">
        <f t="shared" si="1"/>
        <v>19.202400000000001</v>
      </c>
      <c r="J63" s="18">
        <f>I63*I63</f>
        <v>368.73216576000004</v>
      </c>
      <c r="K63" s="18">
        <v>66</v>
      </c>
      <c r="L63" s="19">
        <f t="shared" si="0"/>
        <v>0.17899170760968547</v>
      </c>
      <c r="M63" s="19">
        <v>0</v>
      </c>
      <c r="N63" s="18">
        <v>0</v>
      </c>
      <c r="O63" s="22">
        <v>0</v>
      </c>
      <c r="P63" s="22">
        <v>0</v>
      </c>
      <c r="Q63" s="18">
        <v>10</v>
      </c>
    </row>
    <row r="64" spans="1:17" s="19" customFormat="1" x14ac:dyDescent="0.3">
      <c r="A64" s="19">
        <v>63</v>
      </c>
      <c r="B64" s="38">
        <v>0</v>
      </c>
      <c r="C64" s="18">
        <v>1</v>
      </c>
      <c r="D64" s="18">
        <v>0</v>
      </c>
      <c r="E64" s="18">
        <v>14</v>
      </c>
      <c r="F64" s="18">
        <v>1</v>
      </c>
      <c r="G64" s="18">
        <v>4.9000000000000004</v>
      </c>
      <c r="H64" s="19">
        <f>CONVERT(64,"ft","m")*100</f>
        <v>1950.72</v>
      </c>
      <c r="I64" s="18">
        <f t="shared" si="1"/>
        <v>19.507200000000001</v>
      </c>
      <c r="J64" s="18">
        <f>I64*I64</f>
        <v>380.53085184000003</v>
      </c>
      <c r="K64" s="18">
        <v>55</v>
      </c>
      <c r="L64" s="19">
        <f t="shared" si="0"/>
        <v>0.14453492991187369</v>
      </c>
      <c r="M64" s="19">
        <v>0</v>
      </c>
      <c r="N64" s="18">
        <v>0</v>
      </c>
      <c r="O64" s="22">
        <v>0</v>
      </c>
      <c r="P64" s="22">
        <v>0</v>
      </c>
      <c r="Q64" s="18">
        <v>10</v>
      </c>
    </row>
    <row r="65" spans="1:17" s="19" customFormat="1" x14ac:dyDescent="0.3">
      <c r="A65" s="19">
        <v>64</v>
      </c>
      <c r="B65" s="38">
        <v>0</v>
      </c>
      <c r="C65" s="20">
        <v>1</v>
      </c>
      <c r="D65" s="18">
        <v>0</v>
      </c>
      <c r="E65" s="20">
        <v>53</v>
      </c>
      <c r="F65" s="18">
        <v>1</v>
      </c>
      <c r="G65" s="18">
        <v>6</v>
      </c>
      <c r="H65" s="19">
        <f>CONVERT(65,"ft","m")*100</f>
        <v>1981.2</v>
      </c>
      <c r="I65" s="18">
        <f t="shared" si="1"/>
        <v>19.812000000000001</v>
      </c>
      <c r="J65" s="18">
        <f>I65*I65</f>
        <v>392.51534400000003</v>
      </c>
      <c r="K65" s="18">
        <v>60</v>
      </c>
      <c r="L65" s="19">
        <f t="shared" si="0"/>
        <v>0.15286026627280078</v>
      </c>
      <c r="M65" s="19">
        <v>0</v>
      </c>
      <c r="N65" s="18">
        <v>0</v>
      </c>
      <c r="O65" s="22">
        <v>0</v>
      </c>
      <c r="P65" s="22">
        <v>0</v>
      </c>
      <c r="Q65" s="18">
        <v>10</v>
      </c>
    </row>
    <row r="66" spans="1:17" s="19" customFormat="1" x14ac:dyDescent="0.3">
      <c r="A66" s="19">
        <v>65</v>
      </c>
      <c r="B66" s="38">
        <v>0</v>
      </c>
      <c r="C66" s="20">
        <v>1</v>
      </c>
      <c r="D66" s="18">
        <v>0</v>
      </c>
      <c r="E66" s="20">
        <v>42</v>
      </c>
      <c r="F66" s="18">
        <v>1</v>
      </c>
      <c r="G66" s="18">
        <v>5</v>
      </c>
      <c r="H66" s="19">
        <f>CONVERT(66,"ft","m")*100</f>
        <v>2011.68</v>
      </c>
      <c r="I66" s="18">
        <f t="shared" si="1"/>
        <v>20.116800000000001</v>
      </c>
      <c r="J66" s="18">
        <f>I66*I66</f>
        <v>404.68564224000005</v>
      </c>
      <c r="K66" s="18">
        <v>40</v>
      </c>
      <c r="L66" s="19">
        <f t="shared" ref="L66:L129" si="2">K66/J66</f>
        <v>9.8842152586866128E-2</v>
      </c>
      <c r="M66" s="19">
        <v>0</v>
      </c>
      <c r="N66" s="18">
        <v>0</v>
      </c>
      <c r="O66" s="22">
        <v>0</v>
      </c>
      <c r="P66" s="22">
        <v>0</v>
      </c>
      <c r="Q66" s="18">
        <v>10</v>
      </c>
    </row>
    <row r="67" spans="1:17" s="19" customFormat="1" x14ac:dyDescent="0.3">
      <c r="A67" s="19">
        <v>66</v>
      </c>
      <c r="B67" s="38">
        <v>0</v>
      </c>
      <c r="C67" s="20">
        <v>1</v>
      </c>
      <c r="D67" s="18">
        <v>0</v>
      </c>
      <c r="E67" s="20">
        <v>28</v>
      </c>
      <c r="F67" s="18">
        <v>1</v>
      </c>
      <c r="G67" s="18">
        <v>5.5</v>
      </c>
      <c r="H67" s="19">
        <f>CONVERT(67,"ft","m")*100</f>
        <v>2042.16</v>
      </c>
      <c r="I67" s="18">
        <f t="shared" ref="I67:I130" si="3">H67/100</f>
        <v>20.421600000000002</v>
      </c>
      <c r="J67" s="18">
        <f>I67*I67</f>
        <v>417.04174656000004</v>
      </c>
      <c r="K67" s="18">
        <v>50</v>
      </c>
      <c r="L67" s="19">
        <f t="shared" si="2"/>
        <v>0.11989207414468391</v>
      </c>
      <c r="M67" s="19">
        <v>0</v>
      </c>
      <c r="N67" s="18">
        <v>0</v>
      </c>
      <c r="O67" s="22">
        <v>0</v>
      </c>
      <c r="P67" s="22">
        <v>0</v>
      </c>
      <c r="Q67" s="18">
        <v>10</v>
      </c>
    </row>
    <row r="68" spans="1:17" s="19" customFormat="1" x14ac:dyDescent="0.3">
      <c r="A68" s="19">
        <v>67</v>
      </c>
      <c r="B68" s="38">
        <v>0</v>
      </c>
      <c r="C68" s="20">
        <v>0</v>
      </c>
      <c r="D68" s="18">
        <v>0</v>
      </c>
      <c r="E68" s="20">
        <v>36</v>
      </c>
      <c r="F68" s="18">
        <v>1</v>
      </c>
      <c r="G68" s="18">
        <v>5.5</v>
      </c>
      <c r="H68" s="19">
        <f>CONVERT(68,"ft","m")*100</f>
        <v>2072.6400000000003</v>
      </c>
      <c r="I68" s="18">
        <f t="shared" si="3"/>
        <v>20.726400000000002</v>
      </c>
      <c r="J68" s="18">
        <f>I68*I68</f>
        <v>429.5836569600001</v>
      </c>
      <c r="K68" s="18">
        <v>50</v>
      </c>
      <c r="L68" s="19">
        <f t="shared" si="2"/>
        <v>0.11639176488656704</v>
      </c>
      <c r="M68" s="19">
        <v>1</v>
      </c>
      <c r="N68" s="18">
        <v>0</v>
      </c>
      <c r="O68" s="22">
        <v>0</v>
      </c>
      <c r="P68" s="22">
        <v>0</v>
      </c>
      <c r="Q68" s="18">
        <v>10</v>
      </c>
    </row>
    <row r="69" spans="1:17" s="19" customFormat="1" x14ac:dyDescent="0.3">
      <c r="A69" s="19">
        <v>68</v>
      </c>
      <c r="B69" s="38">
        <v>0</v>
      </c>
      <c r="C69" s="20">
        <v>1</v>
      </c>
      <c r="D69" s="18">
        <v>0</v>
      </c>
      <c r="E69" s="20">
        <v>57</v>
      </c>
      <c r="F69" s="18">
        <v>5</v>
      </c>
      <c r="G69" s="18">
        <v>4.9000000000000004</v>
      </c>
      <c r="H69" s="19">
        <f>CONVERT(69,"ft","m")*100</f>
        <v>2103.12</v>
      </c>
      <c r="I69" s="18">
        <f t="shared" si="3"/>
        <v>21.031199999999998</v>
      </c>
      <c r="J69" s="18">
        <f>I69*I69</f>
        <v>442.31137343999995</v>
      </c>
      <c r="K69" s="18">
        <v>60</v>
      </c>
      <c r="L69" s="19">
        <f t="shared" si="2"/>
        <v>0.13565104494908284</v>
      </c>
      <c r="M69" s="19">
        <v>1</v>
      </c>
      <c r="N69" s="18">
        <v>0</v>
      </c>
      <c r="O69" s="22">
        <v>0</v>
      </c>
      <c r="P69" s="22">
        <v>0</v>
      </c>
      <c r="Q69" s="18">
        <v>10</v>
      </c>
    </row>
    <row r="70" spans="1:17" s="19" customFormat="1" x14ac:dyDescent="0.3">
      <c r="A70" s="19">
        <v>69</v>
      </c>
      <c r="B70" s="38">
        <v>0</v>
      </c>
      <c r="C70" s="20">
        <v>1</v>
      </c>
      <c r="D70" s="18">
        <v>0</v>
      </c>
      <c r="E70" s="20">
        <v>46</v>
      </c>
      <c r="F70" s="18">
        <v>1</v>
      </c>
      <c r="G70" s="18">
        <v>5</v>
      </c>
      <c r="H70" s="19">
        <f>CONVERT(70,"ft","m")*100</f>
        <v>2133.6</v>
      </c>
      <c r="I70" s="18">
        <f t="shared" si="3"/>
        <v>21.335999999999999</v>
      </c>
      <c r="J70" s="18">
        <f>I70*I70</f>
        <v>455.22489599999994</v>
      </c>
      <c r="K70" s="18">
        <v>55</v>
      </c>
      <c r="L70" s="19">
        <f t="shared" si="2"/>
        <v>0.12081940263653772</v>
      </c>
      <c r="M70" s="19">
        <v>0</v>
      </c>
      <c r="N70" s="18">
        <v>0</v>
      </c>
      <c r="O70" s="22">
        <v>0</v>
      </c>
      <c r="P70" s="22">
        <v>0</v>
      </c>
      <c r="Q70" s="18">
        <v>10</v>
      </c>
    </row>
    <row r="71" spans="1:17" s="19" customFormat="1" x14ac:dyDescent="0.3">
      <c r="A71" s="19">
        <v>70</v>
      </c>
      <c r="B71" s="38">
        <v>0</v>
      </c>
      <c r="C71" s="20">
        <v>1</v>
      </c>
      <c r="D71" s="18">
        <v>0</v>
      </c>
      <c r="E71" s="20">
        <v>39</v>
      </c>
      <c r="F71" s="18">
        <v>1</v>
      </c>
      <c r="G71" s="18">
        <v>5.5</v>
      </c>
      <c r="H71" s="19">
        <f>CONVERT(71,"ft","m")*100</f>
        <v>2164.08</v>
      </c>
      <c r="I71" s="18">
        <f t="shared" si="3"/>
        <v>21.640799999999999</v>
      </c>
      <c r="J71" s="18">
        <f>I71*I71</f>
        <v>468.32422463999995</v>
      </c>
      <c r="K71" s="18">
        <v>60</v>
      </c>
      <c r="L71" s="19">
        <f t="shared" si="2"/>
        <v>0.12811637076028237</v>
      </c>
      <c r="M71" s="19">
        <v>0</v>
      </c>
      <c r="N71" s="18">
        <v>0</v>
      </c>
      <c r="O71" s="22">
        <v>0</v>
      </c>
      <c r="P71" s="22">
        <v>0</v>
      </c>
      <c r="Q71" s="18">
        <v>10</v>
      </c>
    </row>
    <row r="72" spans="1:17" s="19" customFormat="1" x14ac:dyDescent="0.3">
      <c r="A72" s="19">
        <v>71</v>
      </c>
      <c r="B72" s="38">
        <v>0</v>
      </c>
      <c r="C72" s="20">
        <v>1</v>
      </c>
      <c r="D72" s="18">
        <v>0</v>
      </c>
      <c r="E72" s="20">
        <v>54</v>
      </c>
      <c r="F72" s="18">
        <v>5</v>
      </c>
      <c r="G72" s="18">
        <v>5.5</v>
      </c>
      <c r="H72" s="19">
        <f>CONVERT(72,"ft","m")*100</f>
        <v>2194.56</v>
      </c>
      <c r="I72" s="18">
        <f t="shared" si="3"/>
        <v>21.945599999999999</v>
      </c>
      <c r="J72" s="18">
        <f>I72*I72</f>
        <v>481.60935935999993</v>
      </c>
      <c r="K72" s="18">
        <v>90</v>
      </c>
      <c r="L72" s="19">
        <f t="shared" si="2"/>
        <v>0.18687344473454381</v>
      </c>
      <c r="M72" s="19">
        <v>1</v>
      </c>
      <c r="N72" s="18">
        <v>0</v>
      </c>
      <c r="O72" s="22">
        <v>0</v>
      </c>
      <c r="P72" s="22">
        <v>0</v>
      </c>
      <c r="Q72" s="18">
        <v>10</v>
      </c>
    </row>
    <row r="73" spans="1:17" s="19" customFormat="1" x14ac:dyDescent="0.3">
      <c r="A73" s="19">
        <v>72</v>
      </c>
      <c r="B73" s="38">
        <v>0</v>
      </c>
      <c r="C73" s="20">
        <v>1</v>
      </c>
      <c r="D73" s="18">
        <v>0</v>
      </c>
      <c r="E73" s="20">
        <v>68</v>
      </c>
      <c r="F73" s="18">
        <v>1</v>
      </c>
      <c r="G73" s="18">
        <v>4.9000000000000004</v>
      </c>
      <c r="H73" s="19">
        <f>CONVERT(73,"ft","m")*100</f>
        <v>2225.04</v>
      </c>
      <c r="I73" s="18">
        <f t="shared" si="3"/>
        <v>22.250399999999999</v>
      </c>
      <c r="J73" s="18">
        <f>I73*I73</f>
        <v>495.08030015999998</v>
      </c>
      <c r="K73" s="18">
        <v>65</v>
      </c>
      <c r="L73" s="19">
        <f t="shared" si="2"/>
        <v>0.13129183281781423</v>
      </c>
      <c r="M73" s="19">
        <v>0</v>
      </c>
      <c r="N73" s="18">
        <v>0</v>
      </c>
      <c r="O73" s="22">
        <v>0</v>
      </c>
      <c r="P73" s="22">
        <v>0</v>
      </c>
      <c r="Q73" s="18">
        <v>10</v>
      </c>
    </row>
    <row r="74" spans="1:17" s="19" customFormat="1" x14ac:dyDescent="0.3">
      <c r="A74" s="19">
        <v>73</v>
      </c>
      <c r="B74" s="38">
        <v>0</v>
      </c>
      <c r="C74" s="20">
        <v>1</v>
      </c>
      <c r="D74" s="18">
        <v>0</v>
      </c>
      <c r="E74" s="20">
        <v>32</v>
      </c>
      <c r="F74" s="18">
        <v>1</v>
      </c>
      <c r="G74" s="18">
        <v>5</v>
      </c>
      <c r="H74" s="19">
        <f>CONVERT(74,"ft","m")*100</f>
        <v>2255.52</v>
      </c>
      <c r="I74" s="18">
        <f t="shared" si="3"/>
        <v>22.555199999999999</v>
      </c>
      <c r="J74" s="18">
        <f>I74*I74</f>
        <v>508.73704703999999</v>
      </c>
      <c r="K74" s="18">
        <v>65</v>
      </c>
      <c r="L74" s="19">
        <f t="shared" si="2"/>
        <v>0.12776738076810298</v>
      </c>
      <c r="M74" s="19">
        <v>0</v>
      </c>
      <c r="N74" s="18">
        <v>0</v>
      </c>
      <c r="O74" s="22">
        <v>0</v>
      </c>
      <c r="P74" s="22">
        <v>0</v>
      </c>
      <c r="Q74" s="18">
        <v>10</v>
      </c>
    </row>
    <row r="75" spans="1:17" s="19" customFormat="1" x14ac:dyDescent="0.3">
      <c r="A75" s="19">
        <v>74</v>
      </c>
      <c r="B75" s="38">
        <v>0</v>
      </c>
      <c r="C75" s="20">
        <v>1</v>
      </c>
      <c r="D75" s="18">
        <v>0</v>
      </c>
      <c r="E75" s="20">
        <v>26</v>
      </c>
      <c r="F75" s="18">
        <v>1</v>
      </c>
      <c r="G75" s="18">
        <v>4.5</v>
      </c>
      <c r="H75" s="19">
        <f>CONVERT(75,"ft","m")*100</f>
        <v>2286</v>
      </c>
      <c r="I75" s="18">
        <f t="shared" si="3"/>
        <v>22.86</v>
      </c>
      <c r="J75" s="18">
        <f>I75*I75</f>
        <v>522.57960000000003</v>
      </c>
      <c r="K75" s="18">
        <v>68</v>
      </c>
      <c r="L75" s="19">
        <f t="shared" si="2"/>
        <v>0.13012371703755751</v>
      </c>
      <c r="M75" s="19">
        <v>0</v>
      </c>
      <c r="N75" s="18">
        <v>0</v>
      </c>
      <c r="O75" s="22">
        <v>0</v>
      </c>
      <c r="P75" s="22">
        <v>0</v>
      </c>
      <c r="Q75" s="18">
        <v>10</v>
      </c>
    </row>
    <row r="76" spans="1:17" s="19" customFormat="1" x14ac:dyDescent="0.3">
      <c r="A76" s="19">
        <v>75</v>
      </c>
      <c r="B76" s="38">
        <v>0</v>
      </c>
      <c r="C76" s="20">
        <v>1</v>
      </c>
      <c r="D76" s="18">
        <v>0</v>
      </c>
      <c r="E76" s="20">
        <v>42</v>
      </c>
      <c r="F76" s="18">
        <v>1</v>
      </c>
      <c r="G76" s="18">
        <v>5</v>
      </c>
      <c r="H76" s="19">
        <f>CONVERT(76,"ft","m")*100</f>
        <v>2316.48</v>
      </c>
      <c r="I76" s="18">
        <f t="shared" si="3"/>
        <v>23.1648</v>
      </c>
      <c r="J76" s="18">
        <f>I76*I76</f>
        <v>536.60795903999997</v>
      </c>
      <c r="K76" s="18">
        <v>70</v>
      </c>
      <c r="L76" s="19">
        <f t="shared" si="2"/>
        <v>0.13044905283408598</v>
      </c>
      <c r="M76" s="19">
        <v>0</v>
      </c>
      <c r="N76" s="18">
        <v>2</v>
      </c>
      <c r="O76" s="22">
        <v>0</v>
      </c>
      <c r="P76" s="22">
        <v>0</v>
      </c>
      <c r="Q76" s="18">
        <v>10</v>
      </c>
    </row>
    <row r="77" spans="1:17" s="19" customFormat="1" x14ac:dyDescent="0.3">
      <c r="A77" s="19">
        <v>76</v>
      </c>
      <c r="B77" s="38">
        <v>0</v>
      </c>
      <c r="C77" s="20">
        <v>0</v>
      </c>
      <c r="D77" s="18">
        <v>0</v>
      </c>
      <c r="E77" s="20">
        <v>43</v>
      </c>
      <c r="F77" s="18">
        <v>1</v>
      </c>
      <c r="G77" s="18">
        <v>4.9000000000000004</v>
      </c>
      <c r="H77" s="19">
        <f>CONVERT(77,"ft","m")*100</f>
        <v>2346.96</v>
      </c>
      <c r="I77" s="18">
        <f t="shared" si="3"/>
        <v>23.4696</v>
      </c>
      <c r="J77" s="18">
        <f>I77*I77</f>
        <v>550.82212416000004</v>
      </c>
      <c r="K77" s="18">
        <v>55</v>
      </c>
      <c r="L77" s="19">
        <f t="shared" si="2"/>
        <v>9.9850745980609668E-2</v>
      </c>
      <c r="M77" s="19">
        <v>0</v>
      </c>
      <c r="N77" s="18">
        <v>2</v>
      </c>
      <c r="O77" s="22">
        <v>0</v>
      </c>
      <c r="P77" s="22">
        <v>0</v>
      </c>
      <c r="Q77" s="18">
        <v>10</v>
      </c>
    </row>
    <row r="78" spans="1:17" s="19" customFormat="1" x14ac:dyDescent="0.3">
      <c r="A78" s="19">
        <v>77</v>
      </c>
      <c r="B78" s="38">
        <v>0</v>
      </c>
      <c r="C78" s="20">
        <v>2</v>
      </c>
      <c r="D78" s="18">
        <v>0</v>
      </c>
      <c r="E78" s="20">
        <v>56</v>
      </c>
      <c r="F78" s="18">
        <v>1</v>
      </c>
      <c r="G78" s="18">
        <v>5.5</v>
      </c>
      <c r="H78" s="19">
        <f>CONVERT(78,"ft","m")*100</f>
        <v>2377.44</v>
      </c>
      <c r="I78" s="18">
        <f t="shared" si="3"/>
        <v>23.7744</v>
      </c>
      <c r="J78" s="18">
        <f>I78*I78</f>
        <v>565.22209536000003</v>
      </c>
      <c r="K78" s="18">
        <v>55</v>
      </c>
      <c r="L78" s="19">
        <f t="shared" si="2"/>
        <v>9.7306882465324568E-2</v>
      </c>
      <c r="M78" s="19">
        <v>0</v>
      </c>
      <c r="N78" s="18">
        <v>0</v>
      </c>
      <c r="O78" s="22">
        <v>0</v>
      </c>
      <c r="P78" s="22">
        <v>0</v>
      </c>
      <c r="Q78" s="18">
        <v>10</v>
      </c>
    </row>
    <row r="79" spans="1:17" s="19" customFormat="1" x14ac:dyDescent="0.3">
      <c r="A79" s="19">
        <v>78</v>
      </c>
      <c r="B79" s="38">
        <v>0</v>
      </c>
      <c r="C79" s="20">
        <v>1</v>
      </c>
      <c r="D79" s="18">
        <v>0</v>
      </c>
      <c r="E79" s="20">
        <v>48</v>
      </c>
      <c r="F79" s="18">
        <v>1</v>
      </c>
      <c r="G79" s="18">
        <v>4.9000000000000004</v>
      </c>
      <c r="H79" s="19">
        <f>CONVERT(79,"ft","m")*100</f>
        <v>2407.92</v>
      </c>
      <c r="I79" s="18">
        <f t="shared" si="3"/>
        <v>24.0792</v>
      </c>
      <c r="J79" s="18">
        <f>I79*I79</f>
        <v>579.80787264000003</v>
      </c>
      <c r="K79" s="18">
        <v>67</v>
      </c>
      <c r="L79" s="19">
        <f t="shared" si="2"/>
        <v>0.11555551961537436</v>
      </c>
      <c r="M79" s="19">
        <v>0</v>
      </c>
      <c r="N79" s="18">
        <v>0</v>
      </c>
      <c r="O79" s="22">
        <v>0</v>
      </c>
      <c r="P79" s="22">
        <v>0</v>
      </c>
      <c r="Q79" s="18">
        <v>10</v>
      </c>
    </row>
    <row r="80" spans="1:17" s="19" customFormat="1" x14ac:dyDescent="0.3">
      <c r="A80" s="19">
        <v>79</v>
      </c>
      <c r="B80" s="38">
        <v>0</v>
      </c>
      <c r="C80" s="20">
        <v>1</v>
      </c>
      <c r="D80" s="18">
        <v>0</v>
      </c>
      <c r="E80" s="20">
        <v>35</v>
      </c>
      <c r="F80" s="18">
        <v>1</v>
      </c>
      <c r="G80" s="18">
        <v>4.9000000000000004</v>
      </c>
      <c r="H80" s="19">
        <f>CONVERT(80,"ft","m")*100</f>
        <v>2438.4</v>
      </c>
      <c r="I80" s="18">
        <f t="shared" si="3"/>
        <v>24.384</v>
      </c>
      <c r="J80" s="18">
        <f>I80*I80</f>
        <v>594.57945600000005</v>
      </c>
      <c r="K80" s="18">
        <v>68</v>
      </c>
      <c r="L80" s="19">
        <f t="shared" si="2"/>
        <v>0.11436654817754079</v>
      </c>
      <c r="M80" s="19">
        <v>0</v>
      </c>
      <c r="N80" s="18">
        <v>0</v>
      </c>
      <c r="O80" s="22">
        <v>0</v>
      </c>
      <c r="P80" s="22">
        <v>0</v>
      </c>
      <c r="Q80" s="18">
        <v>10</v>
      </c>
    </row>
    <row r="81" spans="1:17" s="19" customFormat="1" x14ac:dyDescent="0.3">
      <c r="A81" s="19">
        <v>80</v>
      </c>
      <c r="B81" s="38">
        <v>0</v>
      </c>
      <c r="C81" s="20">
        <v>1</v>
      </c>
      <c r="D81" s="18">
        <v>0</v>
      </c>
      <c r="E81" s="20">
        <v>40</v>
      </c>
      <c r="F81" s="18">
        <v>1</v>
      </c>
      <c r="G81" s="18">
        <v>6</v>
      </c>
      <c r="H81" s="19">
        <f>CONVERT(81,"ft","m")*100</f>
        <v>2468.88</v>
      </c>
      <c r="I81" s="18">
        <f t="shared" si="3"/>
        <v>24.688800000000001</v>
      </c>
      <c r="J81" s="18">
        <f>I81*I81</f>
        <v>609.53684543999998</v>
      </c>
      <c r="K81" s="18">
        <v>69</v>
      </c>
      <c r="L81" s="19">
        <f t="shared" si="2"/>
        <v>0.11320070397088414</v>
      </c>
      <c r="M81" s="19">
        <v>0</v>
      </c>
      <c r="N81" s="18">
        <v>0</v>
      </c>
      <c r="O81" s="22">
        <v>0</v>
      </c>
      <c r="P81" s="22">
        <v>0</v>
      </c>
      <c r="Q81" s="18">
        <v>10</v>
      </c>
    </row>
    <row r="82" spans="1:17" s="19" customFormat="1" x14ac:dyDescent="0.3">
      <c r="A82" s="19">
        <v>81</v>
      </c>
      <c r="B82" s="38">
        <v>0</v>
      </c>
      <c r="C82" s="20">
        <v>1</v>
      </c>
      <c r="D82" s="18">
        <v>0</v>
      </c>
      <c r="E82" s="20">
        <v>31</v>
      </c>
      <c r="F82" s="18">
        <v>1</v>
      </c>
      <c r="G82" s="18">
        <v>5.5</v>
      </c>
      <c r="H82" s="19">
        <f>CONVERT(82,"ft","m")*100</f>
        <v>2499.36</v>
      </c>
      <c r="I82" s="18">
        <f t="shared" si="3"/>
        <v>24.993600000000001</v>
      </c>
      <c r="J82" s="18">
        <f>I82*I82</f>
        <v>624.68004096000004</v>
      </c>
      <c r="K82" s="18">
        <v>80</v>
      </c>
      <c r="L82" s="19">
        <f t="shared" si="2"/>
        <v>0.12806556117441667</v>
      </c>
      <c r="M82" s="19">
        <v>0</v>
      </c>
      <c r="N82" s="18">
        <v>0</v>
      </c>
      <c r="O82" s="22">
        <v>0</v>
      </c>
      <c r="P82" s="22">
        <v>0</v>
      </c>
      <c r="Q82" s="18">
        <v>10</v>
      </c>
    </row>
    <row r="83" spans="1:17" s="19" customFormat="1" x14ac:dyDescent="0.3">
      <c r="A83" s="19">
        <v>82</v>
      </c>
      <c r="B83" s="38">
        <v>0</v>
      </c>
      <c r="C83" s="20">
        <v>1</v>
      </c>
      <c r="D83" s="18">
        <v>0</v>
      </c>
      <c r="E83" s="20">
        <v>30</v>
      </c>
      <c r="F83" s="18">
        <v>1</v>
      </c>
      <c r="G83" s="18">
        <v>5.3</v>
      </c>
      <c r="H83" s="19">
        <f>CONVERT(83,"ft","m")*100</f>
        <v>2529.84</v>
      </c>
      <c r="I83" s="18">
        <f t="shared" si="3"/>
        <v>25.298400000000001</v>
      </c>
      <c r="J83" s="18">
        <f>I83*I83</f>
        <v>640.00904256000001</v>
      </c>
      <c r="K83" s="18">
        <v>90</v>
      </c>
      <c r="L83" s="19">
        <f t="shared" si="2"/>
        <v>0.14062301313744738</v>
      </c>
      <c r="M83" s="19">
        <v>0</v>
      </c>
      <c r="N83" s="18">
        <v>0</v>
      </c>
      <c r="O83" s="22">
        <v>0</v>
      </c>
      <c r="P83" s="22">
        <v>0</v>
      </c>
      <c r="Q83" s="18">
        <v>10</v>
      </c>
    </row>
    <row r="84" spans="1:17" s="19" customFormat="1" x14ac:dyDescent="0.3">
      <c r="A84" s="19">
        <v>83</v>
      </c>
      <c r="B84" s="38">
        <v>0</v>
      </c>
      <c r="C84" s="20">
        <v>1</v>
      </c>
      <c r="D84" s="18">
        <v>0</v>
      </c>
      <c r="E84" s="20">
        <v>53</v>
      </c>
      <c r="F84" s="18">
        <v>1</v>
      </c>
      <c r="G84" s="18">
        <v>4.9000000000000004</v>
      </c>
      <c r="H84" s="19">
        <f>CONVERT(84,"ft","m")*100</f>
        <v>2560.3200000000002</v>
      </c>
      <c r="I84" s="18">
        <f t="shared" si="3"/>
        <v>25.603200000000001</v>
      </c>
      <c r="J84" s="18">
        <f>I84*I84</f>
        <v>655.52385024</v>
      </c>
      <c r="K84" s="18">
        <v>60</v>
      </c>
      <c r="L84" s="19">
        <f t="shared" si="2"/>
        <v>9.1529850482225533E-2</v>
      </c>
      <c r="M84" s="19">
        <v>0</v>
      </c>
      <c r="N84" s="18">
        <v>2</v>
      </c>
      <c r="O84" s="22">
        <v>0</v>
      </c>
      <c r="P84" s="22">
        <v>0</v>
      </c>
      <c r="Q84" s="18">
        <v>10</v>
      </c>
    </row>
    <row r="85" spans="1:17" s="19" customFormat="1" x14ac:dyDescent="0.3">
      <c r="A85" s="19">
        <v>84</v>
      </c>
      <c r="B85" s="38">
        <v>0</v>
      </c>
      <c r="C85" s="20">
        <v>1</v>
      </c>
      <c r="D85" s="18">
        <v>0</v>
      </c>
      <c r="E85" s="20">
        <v>54</v>
      </c>
      <c r="F85" s="18">
        <v>1</v>
      </c>
      <c r="G85" s="18">
        <v>5.5</v>
      </c>
      <c r="H85" s="19">
        <f>CONVERT(85,"ft","m")*100</f>
        <v>2590.8000000000002</v>
      </c>
      <c r="I85" s="18">
        <f t="shared" si="3"/>
        <v>25.908000000000001</v>
      </c>
      <c r="J85" s="18">
        <f>I85*I85</f>
        <v>671.22446400000001</v>
      </c>
      <c r="K85" s="18">
        <v>66</v>
      </c>
      <c r="L85" s="19">
        <f t="shared" si="2"/>
        <v>9.8327762976171851E-2</v>
      </c>
      <c r="M85" s="19">
        <v>0</v>
      </c>
      <c r="N85" s="18">
        <v>2</v>
      </c>
      <c r="O85" s="22">
        <v>0</v>
      </c>
      <c r="P85" s="22">
        <v>0</v>
      </c>
      <c r="Q85" s="18">
        <v>10</v>
      </c>
    </row>
    <row r="86" spans="1:17" s="19" customFormat="1" x14ac:dyDescent="0.3">
      <c r="A86" s="19">
        <v>85</v>
      </c>
      <c r="B86" s="38">
        <v>0</v>
      </c>
      <c r="C86" s="20">
        <v>1</v>
      </c>
      <c r="D86" s="18">
        <v>0</v>
      </c>
      <c r="E86" s="20">
        <v>39</v>
      </c>
      <c r="F86" s="18">
        <v>5</v>
      </c>
      <c r="G86" s="18">
        <v>5.5</v>
      </c>
      <c r="H86" s="19">
        <f>CONVERT(86,"ft","m")*100</f>
        <v>2621.2800000000002</v>
      </c>
      <c r="I86" s="18">
        <f t="shared" si="3"/>
        <v>26.212800000000001</v>
      </c>
      <c r="J86" s="18">
        <f>I86*I86</f>
        <v>687.11088384000004</v>
      </c>
      <c r="K86" s="18">
        <v>55</v>
      </c>
      <c r="L86" s="19">
        <f t="shared" si="2"/>
        <v>8.0045304613173968E-2</v>
      </c>
      <c r="M86" s="19">
        <v>1</v>
      </c>
      <c r="N86" s="18">
        <v>0</v>
      </c>
      <c r="O86" s="22">
        <v>0</v>
      </c>
      <c r="P86" s="22">
        <v>0</v>
      </c>
      <c r="Q86" s="18">
        <v>10</v>
      </c>
    </row>
    <row r="87" spans="1:17" s="19" customFormat="1" x14ac:dyDescent="0.3">
      <c r="A87" s="19">
        <v>86</v>
      </c>
      <c r="B87" s="38">
        <v>0</v>
      </c>
      <c r="C87" s="20">
        <v>1</v>
      </c>
      <c r="D87" s="18">
        <v>0</v>
      </c>
      <c r="E87" s="20">
        <v>32</v>
      </c>
      <c r="F87" s="18">
        <v>1</v>
      </c>
      <c r="G87" s="18">
        <v>5.4</v>
      </c>
      <c r="H87" s="19">
        <f>CONVERT(87,"ft","m")*100</f>
        <v>2651.76</v>
      </c>
      <c r="I87" s="18">
        <f t="shared" si="3"/>
        <v>26.517600000000002</v>
      </c>
      <c r="J87" s="18">
        <f>I87*I87</f>
        <v>703.18310976000009</v>
      </c>
      <c r="K87" s="18">
        <v>60</v>
      </c>
      <c r="L87" s="19">
        <f t="shared" si="2"/>
        <v>8.5326281543477767E-2</v>
      </c>
      <c r="M87" s="19">
        <v>1</v>
      </c>
      <c r="N87" s="18">
        <v>0</v>
      </c>
      <c r="O87" s="22">
        <v>0</v>
      </c>
      <c r="P87" s="22">
        <v>0</v>
      </c>
      <c r="Q87" s="18">
        <v>10</v>
      </c>
    </row>
    <row r="88" spans="1:17" s="19" customFormat="1" x14ac:dyDescent="0.3">
      <c r="A88" s="19">
        <v>87</v>
      </c>
      <c r="B88" s="38">
        <v>0</v>
      </c>
      <c r="C88" s="20">
        <v>1</v>
      </c>
      <c r="D88" s="18">
        <v>0</v>
      </c>
      <c r="E88" s="20">
        <v>41</v>
      </c>
      <c r="F88" s="18">
        <v>1</v>
      </c>
      <c r="G88" s="18">
        <v>5.3</v>
      </c>
      <c r="H88" s="19">
        <f>CONVERT(88,"ft","m")*100</f>
        <v>2682.24</v>
      </c>
      <c r="I88" s="18">
        <f t="shared" si="3"/>
        <v>26.822399999999998</v>
      </c>
      <c r="J88" s="18">
        <f>I88*I88</f>
        <v>719.44114175999994</v>
      </c>
      <c r="K88" s="18">
        <v>40</v>
      </c>
      <c r="L88" s="19">
        <f t="shared" si="2"/>
        <v>5.5598710830112204E-2</v>
      </c>
      <c r="M88" s="19">
        <v>1</v>
      </c>
      <c r="N88" s="18">
        <v>0</v>
      </c>
      <c r="O88" s="22">
        <v>0</v>
      </c>
      <c r="P88" s="22">
        <v>0</v>
      </c>
      <c r="Q88" s="18">
        <v>10</v>
      </c>
    </row>
    <row r="89" spans="1:17" s="19" customFormat="1" x14ac:dyDescent="0.3">
      <c r="A89" s="19">
        <v>88</v>
      </c>
      <c r="B89" s="38">
        <v>0</v>
      </c>
      <c r="C89" s="20">
        <v>1</v>
      </c>
      <c r="D89" s="18">
        <v>0</v>
      </c>
      <c r="E89" s="20">
        <v>32</v>
      </c>
      <c r="F89" s="18">
        <v>1</v>
      </c>
      <c r="G89" s="18">
        <v>5.5</v>
      </c>
      <c r="H89" s="19">
        <f>CONVERT(89,"ft","m")*100</f>
        <v>2712.72</v>
      </c>
      <c r="I89" s="18">
        <f t="shared" si="3"/>
        <v>27.127199999999998</v>
      </c>
      <c r="J89" s="18">
        <f>I89*I89</f>
        <v>735.88497983999991</v>
      </c>
      <c r="K89" s="18">
        <v>50</v>
      </c>
      <c r="L89" s="19">
        <f t="shared" si="2"/>
        <v>6.7945400938705491E-2</v>
      </c>
      <c r="M89" s="19">
        <v>1</v>
      </c>
      <c r="N89" s="18">
        <v>0</v>
      </c>
      <c r="O89" s="22">
        <v>0</v>
      </c>
      <c r="P89" s="22">
        <v>0</v>
      </c>
      <c r="Q89" s="18">
        <v>10</v>
      </c>
    </row>
    <row r="90" spans="1:17" s="19" customFormat="1" x14ac:dyDescent="0.3">
      <c r="A90" s="19">
        <v>89</v>
      </c>
      <c r="B90" s="38">
        <v>0</v>
      </c>
      <c r="C90" s="20">
        <v>1</v>
      </c>
      <c r="D90" s="18">
        <v>0</v>
      </c>
      <c r="E90" s="20">
        <v>59</v>
      </c>
      <c r="F90" s="18">
        <v>1</v>
      </c>
      <c r="G90" s="18">
        <v>4.4000000000000004</v>
      </c>
      <c r="H90" s="19">
        <f>CONVERT(90,"ft","m")*100</f>
        <v>2743.2</v>
      </c>
      <c r="I90" s="18">
        <f t="shared" si="3"/>
        <v>27.431999999999999</v>
      </c>
      <c r="J90" s="18">
        <f>I90*I90</f>
        <v>752.51462399999991</v>
      </c>
      <c r="K90" s="18">
        <v>50</v>
      </c>
      <c r="L90" s="19">
        <f t="shared" si="2"/>
        <v>6.6443891461171134E-2</v>
      </c>
      <c r="M90" s="19">
        <v>1</v>
      </c>
      <c r="N90" s="18">
        <v>0</v>
      </c>
      <c r="O90" s="22">
        <v>0</v>
      </c>
      <c r="P90" s="22">
        <v>0</v>
      </c>
      <c r="Q90" s="18">
        <v>10</v>
      </c>
    </row>
    <row r="91" spans="1:17" s="19" customFormat="1" x14ac:dyDescent="0.3">
      <c r="A91" s="19">
        <v>90</v>
      </c>
      <c r="B91" s="38">
        <v>0</v>
      </c>
      <c r="C91" s="20">
        <v>1</v>
      </c>
      <c r="D91" s="18">
        <v>0</v>
      </c>
      <c r="E91" s="20">
        <v>27</v>
      </c>
      <c r="F91" s="18">
        <v>4</v>
      </c>
      <c r="G91" s="18">
        <v>4.3</v>
      </c>
      <c r="H91" s="19">
        <f>CONVERT(91,"ft","m")*100</f>
        <v>2773.68</v>
      </c>
      <c r="I91" s="18">
        <f t="shared" si="3"/>
        <v>27.736799999999999</v>
      </c>
      <c r="J91" s="18">
        <f>I91*I91</f>
        <v>769.33007423999993</v>
      </c>
      <c r="K91" s="18">
        <v>55</v>
      </c>
      <c r="L91" s="19">
        <f t="shared" si="2"/>
        <v>7.1490770790850713E-2</v>
      </c>
      <c r="M91" s="19">
        <v>1</v>
      </c>
      <c r="N91" s="18">
        <v>0</v>
      </c>
      <c r="O91" s="22">
        <v>0</v>
      </c>
      <c r="P91" s="22">
        <v>0</v>
      </c>
      <c r="Q91" s="18">
        <v>10</v>
      </c>
    </row>
    <row r="92" spans="1:17" s="19" customFormat="1" x14ac:dyDescent="0.3">
      <c r="A92" s="19">
        <v>91</v>
      </c>
      <c r="B92" s="38">
        <v>0</v>
      </c>
      <c r="C92" s="20">
        <v>1</v>
      </c>
      <c r="D92" s="18">
        <v>0</v>
      </c>
      <c r="E92" s="20">
        <v>35</v>
      </c>
      <c r="F92" s="18">
        <v>1</v>
      </c>
      <c r="G92" s="18">
        <v>5</v>
      </c>
      <c r="H92" s="19">
        <f>CONVERT(92,"ft","m")*100</f>
        <v>2804.16</v>
      </c>
      <c r="I92" s="18">
        <f t="shared" si="3"/>
        <v>28.041599999999999</v>
      </c>
      <c r="J92" s="18">
        <f>I92*I92</f>
        <v>786.33133055999997</v>
      </c>
      <c r="K92" s="18">
        <v>60</v>
      </c>
      <c r="L92" s="19">
        <f t="shared" si="2"/>
        <v>7.6303712783859098E-2</v>
      </c>
      <c r="M92" s="19">
        <v>1</v>
      </c>
      <c r="N92" s="18">
        <v>2</v>
      </c>
      <c r="O92" s="22">
        <v>0</v>
      </c>
      <c r="P92" s="22">
        <v>0</v>
      </c>
      <c r="Q92" s="18">
        <v>10</v>
      </c>
    </row>
    <row r="93" spans="1:17" s="19" customFormat="1" x14ac:dyDescent="0.3">
      <c r="A93" s="19">
        <v>92</v>
      </c>
      <c r="B93" s="38">
        <v>0</v>
      </c>
      <c r="C93" s="20">
        <v>0</v>
      </c>
      <c r="D93" s="18">
        <v>0</v>
      </c>
      <c r="E93" s="20">
        <v>46</v>
      </c>
      <c r="F93" s="18">
        <v>1</v>
      </c>
      <c r="G93" s="18">
        <v>5.5</v>
      </c>
      <c r="H93" s="19">
        <f>CONVERT(93,"ft","m")*100</f>
        <v>2834.64</v>
      </c>
      <c r="I93" s="18">
        <f t="shared" si="3"/>
        <v>28.346399999999999</v>
      </c>
      <c r="J93" s="18">
        <f>I93*I93</f>
        <v>803.51839295999991</v>
      </c>
      <c r="K93" s="18">
        <v>70</v>
      </c>
      <c r="L93" s="19">
        <f t="shared" si="2"/>
        <v>8.7116860812773811E-2</v>
      </c>
      <c r="M93" s="19">
        <v>1</v>
      </c>
      <c r="N93" s="18">
        <v>2</v>
      </c>
      <c r="O93" s="22">
        <v>0</v>
      </c>
      <c r="P93" s="22">
        <v>0</v>
      </c>
      <c r="Q93" s="18">
        <v>10</v>
      </c>
    </row>
    <row r="94" spans="1:17" s="19" customFormat="1" x14ac:dyDescent="0.3">
      <c r="A94" s="19">
        <v>93</v>
      </c>
      <c r="B94" s="38">
        <v>0</v>
      </c>
      <c r="C94" s="20">
        <v>1</v>
      </c>
      <c r="D94" s="18">
        <v>0</v>
      </c>
      <c r="E94" s="20">
        <v>35</v>
      </c>
      <c r="F94" s="18">
        <v>1</v>
      </c>
      <c r="G94" s="18">
        <v>5.5</v>
      </c>
      <c r="H94" s="19">
        <f>CONVERT(94,"ft","m")*100</f>
        <v>2865.12</v>
      </c>
      <c r="I94" s="18">
        <f t="shared" si="3"/>
        <v>28.651199999999999</v>
      </c>
      <c r="J94" s="18">
        <f>I94*I94</f>
        <v>820.89126143999999</v>
      </c>
      <c r="K94" s="18">
        <v>80</v>
      </c>
      <c r="L94" s="19">
        <f t="shared" si="2"/>
        <v>9.7455051305656154E-2</v>
      </c>
      <c r="M94" s="19">
        <v>0</v>
      </c>
      <c r="N94" s="18">
        <v>2</v>
      </c>
      <c r="O94" s="22">
        <v>0</v>
      </c>
      <c r="P94" s="22">
        <v>0</v>
      </c>
      <c r="Q94" s="18">
        <v>10</v>
      </c>
    </row>
    <row r="95" spans="1:17" s="19" customFormat="1" x14ac:dyDescent="0.3">
      <c r="A95" s="19">
        <v>94</v>
      </c>
      <c r="B95" s="38">
        <v>0</v>
      </c>
      <c r="C95" s="20">
        <v>1</v>
      </c>
      <c r="D95" s="18">
        <v>0</v>
      </c>
      <c r="E95" s="20">
        <v>31</v>
      </c>
      <c r="F95" s="18">
        <v>1</v>
      </c>
      <c r="G95" s="18">
        <v>5</v>
      </c>
      <c r="H95" s="19">
        <f>CONVERT(95,"ft","m")*100</f>
        <v>2895.6</v>
      </c>
      <c r="I95" s="18">
        <f t="shared" si="3"/>
        <v>28.956</v>
      </c>
      <c r="J95" s="18">
        <f>I95*I95</f>
        <v>838.44993599999998</v>
      </c>
      <c r="K95" s="18">
        <v>90</v>
      </c>
      <c r="L95" s="19">
        <f t="shared" si="2"/>
        <v>0.10734093490347646</v>
      </c>
      <c r="M95" s="19">
        <v>0</v>
      </c>
      <c r="N95" s="18">
        <v>0</v>
      </c>
      <c r="O95" s="22">
        <v>0</v>
      </c>
      <c r="P95" s="22">
        <v>0</v>
      </c>
      <c r="Q95" s="18">
        <v>10</v>
      </c>
    </row>
    <row r="96" spans="1:17" s="19" customFormat="1" x14ac:dyDescent="0.3">
      <c r="A96" s="19">
        <v>95</v>
      </c>
      <c r="B96" s="38">
        <v>0</v>
      </c>
      <c r="C96" s="20">
        <v>1</v>
      </c>
      <c r="D96" s="18">
        <v>0</v>
      </c>
      <c r="E96" s="20">
        <v>29</v>
      </c>
      <c r="F96" s="18">
        <v>1</v>
      </c>
      <c r="G96" s="18">
        <v>5.5</v>
      </c>
      <c r="H96" s="19">
        <f>CONVERT(96,"ft","m")*100</f>
        <v>2926.08</v>
      </c>
      <c r="I96" s="18">
        <f t="shared" si="3"/>
        <v>29.2608</v>
      </c>
      <c r="J96" s="18">
        <f>I96*I96</f>
        <v>856.19441663999999</v>
      </c>
      <c r="K96" s="18">
        <v>55</v>
      </c>
      <c r="L96" s="19">
        <f t="shared" si="2"/>
        <v>6.4237746627499426E-2</v>
      </c>
      <c r="M96" s="19">
        <v>0</v>
      </c>
      <c r="N96" s="18">
        <v>2</v>
      </c>
      <c r="O96" s="22">
        <v>0</v>
      </c>
      <c r="P96" s="22">
        <v>0</v>
      </c>
      <c r="Q96" s="18">
        <v>10</v>
      </c>
    </row>
    <row r="97" spans="1:17" s="19" customFormat="1" x14ac:dyDescent="0.3">
      <c r="A97" s="19">
        <v>96</v>
      </c>
      <c r="B97" s="38">
        <v>0</v>
      </c>
      <c r="C97" s="20">
        <v>1</v>
      </c>
      <c r="D97" s="18">
        <v>0</v>
      </c>
      <c r="E97" s="20">
        <v>54</v>
      </c>
      <c r="F97" s="18">
        <v>1</v>
      </c>
      <c r="G97" s="18">
        <v>4.9000000000000004</v>
      </c>
      <c r="H97" s="19">
        <f>CONVERT(97,"ft","m")*100</f>
        <v>2956.56</v>
      </c>
      <c r="I97" s="18">
        <f t="shared" si="3"/>
        <v>29.5656</v>
      </c>
      <c r="J97" s="18">
        <f>I97*I97</f>
        <v>874.12470336000001</v>
      </c>
      <c r="K97" s="18">
        <v>55</v>
      </c>
      <c r="L97" s="19">
        <f t="shared" si="2"/>
        <v>6.2920084272402463E-2</v>
      </c>
      <c r="M97" s="19">
        <v>0</v>
      </c>
      <c r="N97" s="18">
        <v>0</v>
      </c>
      <c r="O97" s="22">
        <v>0</v>
      </c>
      <c r="P97" s="22">
        <v>0</v>
      </c>
      <c r="Q97" s="18">
        <v>10</v>
      </c>
    </row>
    <row r="98" spans="1:17" s="19" customFormat="1" x14ac:dyDescent="0.3">
      <c r="A98" s="19">
        <v>97</v>
      </c>
      <c r="B98" s="38">
        <v>0</v>
      </c>
      <c r="C98" s="20">
        <v>0</v>
      </c>
      <c r="D98" s="18">
        <v>0</v>
      </c>
      <c r="E98" s="20">
        <v>59</v>
      </c>
      <c r="F98" s="18">
        <v>1</v>
      </c>
      <c r="G98" s="18">
        <v>5</v>
      </c>
      <c r="H98" s="19">
        <f>CONVERT(98,"ft","m")*100</f>
        <v>2987.04</v>
      </c>
      <c r="I98" s="18">
        <f t="shared" si="3"/>
        <v>29.8704</v>
      </c>
      <c r="J98" s="18">
        <f>I98*I98</f>
        <v>892.24079616000006</v>
      </c>
      <c r="K98" s="18">
        <v>67</v>
      </c>
      <c r="L98" s="19">
        <f t="shared" si="2"/>
        <v>7.5091836518070734E-2</v>
      </c>
      <c r="M98" s="19">
        <v>0</v>
      </c>
      <c r="N98" s="18">
        <v>0</v>
      </c>
      <c r="O98" s="22">
        <v>0</v>
      </c>
      <c r="P98" s="22">
        <v>0</v>
      </c>
      <c r="Q98" s="18">
        <v>10</v>
      </c>
    </row>
    <row r="99" spans="1:17" s="19" customFormat="1" x14ac:dyDescent="0.3">
      <c r="A99" s="19">
        <v>98</v>
      </c>
      <c r="B99" s="38">
        <v>0</v>
      </c>
      <c r="C99" s="20">
        <v>1</v>
      </c>
      <c r="D99" s="18">
        <v>0</v>
      </c>
      <c r="E99" s="20">
        <v>48</v>
      </c>
      <c r="F99" s="18">
        <v>4</v>
      </c>
      <c r="G99" s="18">
        <v>5.5</v>
      </c>
      <c r="H99" s="19">
        <f>CONVERT(99,"ft","m")*100</f>
        <v>3017.52</v>
      </c>
      <c r="I99" s="18">
        <f t="shared" si="3"/>
        <v>30.1752</v>
      </c>
      <c r="J99" s="18">
        <f>I99*I99</f>
        <v>910.54269504000001</v>
      </c>
      <c r="K99" s="18">
        <v>68</v>
      </c>
      <c r="L99" s="19">
        <f t="shared" si="2"/>
        <v>7.4680737510076631E-2</v>
      </c>
      <c r="M99" s="19">
        <v>1</v>
      </c>
      <c r="N99" s="18">
        <v>0</v>
      </c>
      <c r="O99" s="22">
        <v>0</v>
      </c>
      <c r="P99" s="22">
        <v>0</v>
      </c>
      <c r="Q99" s="18">
        <v>10</v>
      </c>
    </row>
    <row r="100" spans="1:17" s="19" customFormat="1" x14ac:dyDescent="0.3">
      <c r="A100" s="19">
        <v>99</v>
      </c>
      <c r="B100" s="38">
        <v>0</v>
      </c>
      <c r="C100" s="20">
        <v>1</v>
      </c>
      <c r="D100" s="18">
        <v>0</v>
      </c>
      <c r="E100" s="20">
        <v>41</v>
      </c>
      <c r="F100" s="18">
        <v>1</v>
      </c>
      <c r="G100" s="18">
        <v>5.5</v>
      </c>
      <c r="H100" s="19">
        <f>CONVERT(100,"ft","m")*100</f>
        <v>3048</v>
      </c>
      <c r="I100" s="18">
        <f t="shared" si="3"/>
        <v>30.48</v>
      </c>
      <c r="J100" s="18">
        <f>I100*I100</f>
        <v>929.03039999999999</v>
      </c>
      <c r="K100" s="18">
        <v>69</v>
      </c>
      <c r="L100" s="19">
        <f t="shared" si="2"/>
        <v>7.4270981875297085E-2</v>
      </c>
      <c r="M100" s="19">
        <v>1</v>
      </c>
      <c r="N100" s="18">
        <v>0</v>
      </c>
      <c r="O100" s="22">
        <v>0</v>
      </c>
      <c r="P100" s="22">
        <v>0</v>
      </c>
      <c r="Q100" s="18">
        <v>10</v>
      </c>
    </row>
    <row r="101" spans="1:17" s="19" customFormat="1" x14ac:dyDescent="0.3">
      <c r="A101" s="19">
        <v>100</v>
      </c>
      <c r="B101" s="38">
        <v>0</v>
      </c>
      <c r="C101" s="20">
        <v>0</v>
      </c>
      <c r="D101" s="18">
        <v>0</v>
      </c>
      <c r="E101" s="20">
        <v>25</v>
      </c>
      <c r="F101" s="18">
        <v>1</v>
      </c>
      <c r="G101" s="18">
        <v>4.3</v>
      </c>
      <c r="H101" s="19">
        <f>CONVERT(101,"ft","m")*100</f>
        <v>3078.48</v>
      </c>
      <c r="I101" s="18">
        <f t="shared" si="3"/>
        <v>30.784800000000001</v>
      </c>
      <c r="J101" s="18">
        <f>I101*I101</f>
        <v>947.70391104000009</v>
      </c>
      <c r="K101" s="18">
        <v>80</v>
      </c>
      <c r="L101" s="19">
        <f t="shared" si="2"/>
        <v>8.4414550861364346E-2</v>
      </c>
      <c r="M101" s="19">
        <v>1</v>
      </c>
      <c r="N101" s="18">
        <v>2</v>
      </c>
      <c r="O101" s="22">
        <v>0</v>
      </c>
      <c r="P101" s="22">
        <v>0</v>
      </c>
      <c r="Q101" s="18">
        <v>10</v>
      </c>
    </row>
    <row r="102" spans="1:17" s="19" customFormat="1" x14ac:dyDescent="0.3">
      <c r="A102" s="19">
        <v>101</v>
      </c>
      <c r="B102" s="38">
        <v>0</v>
      </c>
      <c r="C102" s="20">
        <v>1</v>
      </c>
      <c r="D102" s="18">
        <v>0</v>
      </c>
      <c r="E102" s="20">
        <v>36</v>
      </c>
      <c r="F102" s="18">
        <v>1</v>
      </c>
      <c r="G102" s="18">
        <v>4.9000000000000004</v>
      </c>
      <c r="H102" s="19">
        <f>CONVERT(102,"ft","m")*100</f>
        <v>3108.96</v>
      </c>
      <c r="I102" s="18">
        <f t="shared" si="3"/>
        <v>31.089600000000001</v>
      </c>
      <c r="J102" s="18">
        <f>I102*I102</f>
        <v>966.56322815999999</v>
      </c>
      <c r="K102" s="18">
        <v>90</v>
      </c>
      <c r="L102" s="19">
        <f t="shared" si="2"/>
        <v>9.3113411909253652E-2</v>
      </c>
      <c r="M102" s="19">
        <v>0</v>
      </c>
      <c r="N102" s="18">
        <v>0</v>
      </c>
      <c r="O102" s="22">
        <v>0</v>
      </c>
      <c r="P102" s="22">
        <v>0</v>
      </c>
      <c r="Q102" s="18">
        <v>10</v>
      </c>
    </row>
    <row r="103" spans="1:17" s="19" customFormat="1" x14ac:dyDescent="0.3">
      <c r="A103" s="19">
        <v>102</v>
      </c>
      <c r="B103" s="38">
        <v>0</v>
      </c>
      <c r="C103" s="20">
        <v>1</v>
      </c>
      <c r="D103" s="18">
        <v>0</v>
      </c>
      <c r="E103" s="20">
        <v>34</v>
      </c>
      <c r="F103" s="18">
        <v>1</v>
      </c>
      <c r="G103" s="18">
        <v>5.5</v>
      </c>
      <c r="H103" s="19">
        <f>CONVERT(103,"ft","m")*100</f>
        <v>3139.44</v>
      </c>
      <c r="I103" s="18">
        <f t="shared" si="3"/>
        <v>31.394400000000001</v>
      </c>
      <c r="J103" s="18">
        <f>I103*I103</f>
        <v>985.60835136000003</v>
      </c>
      <c r="K103" s="18">
        <v>60</v>
      </c>
      <c r="L103" s="19">
        <f t="shared" si="2"/>
        <v>6.0876107550436737E-2</v>
      </c>
      <c r="M103" s="19">
        <v>0</v>
      </c>
      <c r="N103" s="18">
        <v>0</v>
      </c>
      <c r="O103" s="22">
        <v>0</v>
      </c>
      <c r="P103" s="22">
        <v>0</v>
      </c>
      <c r="Q103" s="18">
        <v>10</v>
      </c>
    </row>
    <row r="104" spans="1:17" s="19" customFormat="1" x14ac:dyDescent="0.3">
      <c r="A104" s="19">
        <v>103</v>
      </c>
      <c r="B104" s="38">
        <v>0</v>
      </c>
      <c r="C104" s="20">
        <v>0</v>
      </c>
      <c r="D104" s="18">
        <v>0</v>
      </c>
      <c r="E104" s="20">
        <v>38</v>
      </c>
      <c r="F104" s="18">
        <v>1</v>
      </c>
      <c r="G104" s="18">
        <v>5.3</v>
      </c>
      <c r="H104" s="19">
        <f>CONVERT(104,"ft","m")*100</f>
        <v>3169.92</v>
      </c>
      <c r="I104" s="18">
        <f t="shared" si="3"/>
        <v>31.699200000000001</v>
      </c>
      <c r="J104" s="18">
        <f>I104*I104</f>
        <v>1004.8392806400001</v>
      </c>
      <c r="K104" s="18">
        <v>66</v>
      </c>
      <c r="L104" s="19">
        <f t="shared" si="2"/>
        <v>6.5682145664094083E-2</v>
      </c>
      <c r="M104" s="19">
        <v>0</v>
      </c>
      <c r="N104" s="18">
        <v>0</v>
      </c>
      <c r="O104" s="22">
        <v>0</v>
      </c>
      <c r="P104" s="22">
        <v>0</v>
      </c>
      <c r="Q104" s="18">
        <v>10</v>
      </c>
    </row>
    <row r="105" spans="1:17" s="19" customFormat="1" x14ac:dyDescent="0.3">
      <c r="A105" s="19">
        <v>104</v>
      </c>
      <c r="B105" s="38">
        <v>0</v>
      </c>
      <c r="C105" s="20">
        <v>0</v>
      </c>
      <c r="D105" s="18">
        <v>0</v>
      </c>
      <c r="E105" s="20">
        <v>31</v>
      </c>
      <c r="F105" s="18">
        <v>1</v>
      </c>
      <c r="G105" s="18">
        <v>5.5</v>
      </c>
      <c r="H105" s="19">
        <f>CONVERT(105,"ft","m")*100</f>
        <v>3200.3999999999996</v>
      </c>
      <c r="I105" s="18">
        <f t="shared" si="3"/>
        <v>32.003999999999998</v>
      </c>
      <c r="J105" s="18">
        <f>I105*I105</f>
        <v>1024.2560159999998</v>
      </c>
      <c r="K105" s="18">
        <v>55</v>
      </c>
      <c r="L105" s="19">
        <f t="shared" si="2"/>
        <v>5.3697512282905653E-2</v>
      </c>
      <c r="M105" s="19">
        <v>0</v>
      </c>
      <c r="N105" s="18">
        <v>0</v>
      </c>
      <c r="O105" s="22">
        <v>0</v>
      </c>
      <c r="P105" s="22">
        <v>0</v>
      </c>
      <c r="Q105" s="18">
        <v>10</v>
      </c>
    </row>
    <row r="106" spans="1:17" s="19" customFormat="1" x14ac:dyDescent="0.3">
      <c r="A106" s="19">
        <v>105</v>
      </c>
      <c r="B106" s="38">
        <v>0</v>
      </c>
      <c r="C106" s="20">
        <v>1</v>
      </c>
      <c r="D106" s="18">
        <v>0</v>
      </c>
      <c r="E106" s="20">
        <v>54</v>
      </c>
      <c r="F106" s="18">
        <v>1</v>
      </c>
      <c r="G106" s="18">
        <v>4.9000000000000004</v>
      </c>
      <c r="H106" s="19">
        <f>CONVERT(106,"ft","m")*100</f>
        <v>3230.8799999999997</v>
      </c>
      <c r="I106" s="18">
        <f t="shared" si="3"/>
        <v>32.308799999999998</v>
      </c>
      <c r="J106" s="18">
        <f>I106*I106</f>
        <v>1043.8585574399999</v>
      </c>
      <c r="K106" s="18">
        <v>60</v>
      </c>
      <c r="L106" s="19">
        <f t="shared" si="2"/>
        <v>5.7479051709023087E-2</v>
      </c>
      <c r="M106" s="19">
        <v>0</v>
      </c>
      <c r="N106" s="18">
        <v>0</v>
      </c>
      <c r="O106" s="22">
        <v>0</v>
      </c>
      <c r="P106" s="22">
        <v>0</v>
      </c>
      <c r="Q106" s="18">
        <v>10</v>
      </c>
    </row>
    <row r="107" spans="1:17" s="19" customFormat="1" x14ac:dyDescent="0.3">
      <c r="A107" s="19">
        <v>106</v>
      </c>
      <c r="B107" s="38">
        <v>0</v>
      </c>
      <c r="C107" s="20">
        <v>1</v>
      </c>
      <c r="D107" s="18">
        <v>0</v>
      </c>
      <c r="E107" s="20">
        <v>34</v>
      </c>
      <c r="F107" s="18">
        <v>1</v>
      </c>
      <c r="G107" s="18">
        <v>5.5</v>
      </c>
      <c r="H107" s="19">
        <f>CONVERT(107,"ft","m")*100</f>
        <v>3261.3599999999997</v>
      </c>
      <c r="I107" s="18">
        <f t="shared" si="3"/>
        <v>32.613599999999998</v>
      </c>
      <c r="J107" s="18">
        <f>I107*I107</f>
        <v>1063.6469049599998</v>
      </c>
      <c r="K107" s="18">
        <v>40</v>
      </c>
      <c r="L107" s="19">
        <f t="shared" si="2"/>
        <v>3.7606464902470868E-2</v>
      </c>
      <c r="M107" s="19">
        <v>0</v>
      </c>
      <c r="N107" s="18">
        <v>2</v>
      </c>
      <c r="O107" s="22">
        <v>0</v>
      </c>
      <c r="P107" s="22">
        <v>0</v>
      </c>
      <c r="Q107" s="18">
        <v>10</v>
      </c>
    </row>
    <row r="108" spans="1:17" s="19" customFormat="1" x14ac:dyDescent="0.3">
      <c r="A108" s="19">
        <v>107</v>
      </c>
      <c r="B108" s="38">
        <v>0</v>
      </c>
      <c r="C108" s="20">
        <v>1</v>
      </c>
      <c r="D108" s="18">
        <v>0</v>
      </c>
      <c r="E108" s="20">
        <v>29</v>
      </c>
      <c r="F108" s="18">
        <v>1</v>
      </c>
      <c r="G108" s="18">
        <v>5</v>
      </c>
      <c r="H108" s="19">
        <f>CONVERT(108,"ft","m")*100</f>
        <v>3291.8399999999997</v>
      </c>
      <c r="I108" s="18">
        <f t="shared" si="3"/>
        <v>32.918399999999998</v>
      </c>
      <c r="J108" s="18">
        <f>I108*I108</f>
        <v>1083.6210585599999</v>
      </c>
      <c r="K108" s="18">
        <v>60</v>
      </c>
      <c r="L108" s="19">
        <f t="shared" si="2"/>
        <v>5.536990955097594E-2</v>
      </c>
      <c r="M108" s="19">
        <v>0</v>
      </c>
      <c r="N108" s="18">
        <v>0</v>
      </c>
      <c r="O108" s="22">
        <v>0</v>
      </c>
      <c r="P108" s="22">
        <v>0</v>
      </c>
      <c r="Q108" s="18">
        <v>10</v>
      </c>
    </row>
    <row r="109" spans="1:17" s="19" customFormat="1" x14ac:dyDescent="0.3">
      <c r="A109" s="19">
        <v>108</v>
      </c>
      <c r="B109" s="38">
        <v>0</v>
      </c>
      <c r="C109" s="20">
        <v>1</v>
      </c>
      <c r="D109" s="18">
        <v>0</v>
      </c>
      <c r="E109" s="20">
        <v>34</v>
      </c>
      <c r="F109" s="18">
        <v>1</v>
      </c>
      <c r="G109" s="18">
        <v>5.5</v>
      </c>
      <c r="H109" s="19">
        <f>CONVERT(109,"ft","m")*100</f>
        <v>3322.3199999999997</v>
      </c>
      <c r="I109" s="18">
        <f t="shared" si="3"/>
        <v>33.223199999999999</v>
      </c>
      <c r="J109" s="18">
        <f>I109*I109</f>
        <v>1103.7810182399999</v>
      </c>
      <c r="K109" s="18">
        <v>40</v>
      </c>
      <c r="L109" s="19">
        <f t="shared" si="2"/>
        <v>3.6239072188232385E-2</v>
      </c>
      <c r="M109" s="19">
        <v>0</v>
      </c>
      <c r="N109" s="18">
        <v>0</v>
      </c>
      <c r="O109" s="22">
        <v>0</v>
      </c>
      <c r="P109" s="22">
        <v>0</v>
      </c>
      <c r="Q109" s="18">
        <v>10</v>
      </c>
    </row>
    <row r="110" spans="1:17" s="19" customFormat="1" x14ac:dyDescent="0.3">
      <c r="A110" s="19">
        <v>109</v>
      </c>
      <c r="B110" s="38">
        <v>0</v>
      </c>
      <c r="C110" s="20">
        <v>1</v>
      </c>
      <c r="D110" s="18">
        <v>0</v>
      </c>
      <c r="E110" s="20">
        <v>38</v>
      </c>
      <c r="F110" s="18">
        <v>1</v>
      </c>
      <c r="G110" s="18">
        <v>5.5</v>
      </c>
      <c r="H110" s="19">
        <f>CONVERT(110,"ft","m")*100</f>
        <v>3352.7999999999997</v>
      </c>
      <c r="I110" s="18">
        <f t="shared" si="3"/>
        <v>33.527999999999999</v>
      </c>
      <c r="J110" s="18">
        <f>I110*I110</f>
        <v>1124.1267839999998</v>
      </c>
      <c r="K110" s="18">
        <v>50</v>
      </c>
      <c r="L110" s="19">
        <f t="shared" si="2"/>
        <v>4.447896866408977E-2</v>
      </c>
      <c r="M110" s="19">
        <v>0</v>
      </c>
      <c r="N110" s="18">
        <v>0</v>
      </c>
      <c r="O110" s="22">
        <v>0</v>
      </c>
      <c r="P110" s="22">
        <v>0</v>
      </c>
      <c r="Q110" s="18">
        <v>9</v>
      </c>
    </row>
    <row r="111" spans="1:17" s="19" customFormat="1" x14ac:dyDescent="0.3">
      <c r="A111" s="19">
        <v>110</v>
      </c>
      <c r="B111" s="38">
        <v>0</v>
      </c>
      <c r="C111" s="20">
        <v>1</v>
      </c>
      <c r="D111" s="18">
        <v>0</v>
      </c>
      <c r="E111" s="20">
        <v>36</v>
      </c>
      <c r="F111" s="18">
        <v>1</v>
      </c>
      <c r="G111" s="18">
        <v>4.9000000000000004</v>
      </c>
      <c r="H111" s="19">
        <f>CONVERT(111,"ft","m")*100</f>
        <v>3383.2799999999997</v>
      </c>
      <c r="I111" s="18">
        <f t="shared" si="3"/>
        <v>33.832799999999999</v>
      </c>
      <c r="J111" s="18">
        <f>I111*I111</f>
        <v>1144.65835584</v>
      </c>
      <c r="K111" s="18">
        <v>50</v>
      </c>
      <c r="L111" s="19">
        <f t="shared" si="2"/>
        <v>4.368115581815487E-2</v>
      </c>
      <c r="M111" s="19">
        <v>0</v>
      </c>
      <c r="N111" s="18">
        <v>2</v>
      </c>
      <c r="O111" s="22">
        <v>0</v>
      </c>
      <c r="P111" s="22">
        <v>0</v>
      </c>
      <c r="Q111" s="18">
        <v>9</v>
      </c>
    </row>
    <row r="112" spans="1:17" s="19" customFormat="1" x14ac:dyDescent="0.3">
      <c r="A112" s="19">
        <v>111</v>
      </c>
      <c r="B112" s="38">
        <v>0</v>
      </c>
      <c r="C112" s="20">
        <v>1</v>
      </c>
      <c r="D112" s="18">
        <v>0</v>
      </c>
      <c r="E112" s="20">
        <v>41</v>
      </c>
      <c r="F112" s="18">
        <v>1</v>
      </c>
      <c r="G112" s="18">
        <v>5</v>
      </c>
      <c r="H112" s="19">
        <f>CONVERT(112,"ft","m")*100</f>
        <v>3413.7599999999998</v>
      </c>
      <c r="I112" s="18">
        <f t="shared" si="3"/>
        <v>34.137599999999999</v>
      </c>
      <c r="J112" s="18">
        <f>I112*I112</f>
        <v>1165.37573376</v>
      </c>
      <c r="K112" s="18">
        <v>60</v>
      </c>
      <c r="L112" s="19">
        <f t="shared" si="2"/>
        <v>5.1485540896251861E-2</v>
      </c>
      <c r="M112" s="19">
        <v>1</v>
      </c>
      <c r="N112" s="18">
        <v>2</v>
      </c>
      <c r="O112" s="22">
        <v>0</v>
      </c>
      <c r="P112" s="22">
        <v>0</v>
      </c>
      <c r="Q112" s="18">
        <v>9</v>
      </c>
    </row>
    <row r="113" spans="1:17" s="19" customFormat="1" x14ac:dyDescent="0.3">
      <c r="A113" s="19">
        <v>112</v>
      </c>
      <c r="B113" s="38">
        <v>0</v>
      </c>
      <c r="C113" s="20">
        <v>1</v>
      </c>
      <c r="D113" s="18">
        <v>0</v>
      </c>
      <c r="E113" s="20">
        <v>28</v>
      </c>
      <c r="F113" s="18">
        <v>1</v>
      </c>
      <c r="G113" s="18">
        <v>5.5</v>
      </c>
      <c r="H113" s="19">
        <f>CONVERT(113,"ft","m")*100</f>
        <v>3444.24</v>
      </c>
      <c r="I113" s="18">
        <f t="shared" si="3"/>
        <v>34.442399999999999</v>
      </c>
      <c r="J113" s="18">
        <f>I113*I113</f>
        <v>1186.27891776</v>
      </c>
      <c r="K113" s="18">
        <v>55</v>
      </c>
      <c r="L113" s="19">
        <f t="shared" si="2"/>
        <v>4.6363464086383796E-2</v>
      </c>
      <c r="M113" s="19">
        <v>1</v>
      </c>
      <c r="N113" s="18">
        <v>2</v>
      </c>
      <c r="O113" s="22">
        <v>0</v>
      </c>
      <c r="P113" s="22">
        <v>0</v>
      </c>
      <c r="Q113" s="18">
        <v>9</v>
      </c>
    </row>
    <row r="114" spans="1:17" s="19" customFormat="1" x14ac:dyDescent="0.3">
      <c r="A114" s="19">
        <v>113</v>
      </c>
      <c r="B114" s="38">
        <v>0</v>
      </c>
      <c r="C114" s="20">
        <v>1</v>
      </c>
      <c r="D114" s="18">
        <v>0</v>
      </c>
      <c r="E114" s="20">
        <v>31</v>
      </c>
      <c r="F114" s="18">
        <v>1</v>
      </c>
      <c r="G114" s="18">
        <v>5.5</v>
      </c>
      <c r="H114" s="19">
        <f>CONVERT(114,"ft","m")*100</f>
        <v>3474.72</v>
      </c>
      <c r="I114" s="18">
        <f t="shared" si="3"/>
        <v>34.747199999999999</v>
      </c>
      <c r="J114" s="18">
        <f>I114*I114</f>
        <v>1207.36790784</v>
      </c>
      <c r="K114" s="18">
        <v>60</v>
      </c>
      <c r="L114" s="19">
        <f t="shared" si="2"/>
        <v>4.9694877270127988E-2</v>
      </c>
      <c r="M114" s="19">
        <v>1</v>
      </c>
      <c r="N114" s="18">
        <v>2</v>
      </c>
      <c r="O114" s="22">
        <v>0</v>
      </c>
      <c r="P114" s="22">
        <v>0</v>
      </c>
      <c r="Q114" s="18">
        <v>9</v>
      </c>
    </row>
    <row r="115" spans="1:17" s="19" customFormat="1" x14ac:dyDescent="0.3">
      <c r="A115" s="19">
        <v>114</v>
      </c>
      <c r="B115" s="38">
        <v>0</v>
      </c>
      <c r="C115" s="20">
        <v>1</v>
      </c>
      <c r="D115" s="18">
        <v>0</v>
      </c>
      <c r="E115" s="20">
        <v>28</v>
      </c>
      <c r="F115" s="18">
        <v>1</v>
      </c>
      <c r="G115" s="18">
        <v>4.9000000000000004</v>
      </c>
      <c r="H115" s="19">
        <f>CONVERT(115,"ft","m")*100</f>
        <v>3505.2</v>
      </c>
      <c r="I115" s="18">
        <f t="shared" si="3"/>
        <v>35.052</v>
      </c>
      <c r="J115" s="18">
        <f>I115*I115</f>
        <v>1228.6427039999999</v>
      </c>
      <c r="K115" s="18">
        <v>70</v>
      </c>
      <c r="L115" s="19">
        <f t="shared" si="2"/>
        <v>5.6973438878614793E-2</v>
      </c>
      <c r="M115" s="19">
        <v>1</v>
      </c>
      <c r="N115" s="18">
        <v>2</v>
      </c>
      <c r="O115" s="22">
        <v>0</v>
      </c>
      <c r="P115" s="22">
        <v>0</v>
      </c>
      <c r="Q115" s="18">
        <v>9</v>
      </c>
    </row>
    <row r="116" spans="1:17" s="19" customFormat="1" x14ac:dyDescent="0.3">
      <c r="A116" s="19">
        <v>115</v>
      </c>
      <c r="B116" s="38">
        <v>0</v>
      </c>
      <c r="C116" s="20">
        <v>0</v>
      </c>
      <c r="D116" s="18">
        <v>0</v>
      </c>
      <c r="E116" s="20">
        <v>56</v>
      </c>
      <c r="F116" s="18">
        <v>2</v>
      </c>
      <c r="G116" s="18">
        <v>5</v>
      </c>
      <c r="H116" s="19">
        <f>CONVERT(116,"ft","m")*100</f>
        <v>3535.68</v>
      </c>
      <c r="I116" s="18">
        <f t="shared" si="3"/>
        <v>35.3568</v>
      </c>
      <c r="J116" s="18">
        <f>I116*I116</f>
        <v>1250.1033062399999</v>
      </c>
      <c r="K116" s="18">
        <v>80</v>
      </c>
      <c r="L116" s="19">
        <f t="shared" si="2"/>
        <v>6.3994711157608339E-2</v>
      </c>
      <c r="M116" s="19">
        <v>0</v>
      </c>
      <c r="N116" s="18">
        <v>0</v>
      </c>
      <c r="O116" s="22">
        <v>0</v>
      </c>
      <c r="P116" s="22">
        <v>0</v>
      </c>
      <c r="Q116" s="18">
        <v>9</v>
      </c>
    </row>
    <row r="117" spans="1:17" s="19" customFormat="1" x14ac:dyDescent="0.3">
      <c r="A117" s="19">
        <v>116</v>
      </c>
      <c r="B117" s="38">
        <v>0</v>
      </c>
      <c r="C117" s="20">
        <v>1</v>
      </c>
      <c r="D117" s="18">
        <v>0</v>
      </c>
      <c r="E117" s="20">
        <v>44</v>
      </c>
      <c r="F117" s="18">
        <v>1</v>
      </c>
      <c r="G117" s="18">
        <v>5.5</v>
      </c>
      <c r="H117" s="19">
        <f>CONVERT(117,"ft","m")*100</f>
        <v>3566.16</v>
      </c>
      <c r="I117" s="18">
        <f t="shared" si="3"/>
        <v>35.6616</v>
      </c>
      <c r="J117" s="18">
        <f>I117*I117</f>
        <v>1271.74971456</v>
      </c>
      <c r="K117" s="18">
        <v>90</v>
      </c>
      <c r="L117" s="19">
        <f t="shared" si="2"/>
        <v>7.0768641792963327E-2</v>
      </c>
      <c r="M117" s="19">
        <v>1</v>
      </c>
      <c r="N117" s="18">
        <v>2</v>
      </c>
      <c r="O117" s="22">
        <v>0</v>
      </c>
      <c r="P117" s="22">
        <v>0</v>
      </c>
      <c r="Q117" s="18">
        <v>9</v>
      </c>
    </row>
    <row r="118" spans="1:17" s="19" customFormat="1" x14ac:dyDescent="0.3">
      <c r="A118" s="19">
        <v>117</v>
      </c>
      <c r="B118" s="38">
        <v>0</v>
      </c>
      <c r="C118" s="20">
        <v>1</v>
      </c>
      <c r="D118" s="18">
        <v>0</v>
      </c>
      <c r="E118" s="20">
        <v>28</v>
      </c>
      <c r="F118" s="18">
        <v>1</v>
      </c>
      <c r="G118" s="18">
        <v>5</v>
      </c>
      <c r="H118" s="19">
        <f>CONVERT(118,"ft","m")*100</f>
        <v>3596.64</v>
      </c>
      <c r="I118" s="18">
        <f t="shared" si="3"/>
        <v>35.9664</v>
      </c>
      <c r="J118" s="18">
        <f>I118*I118</f>
        <v>1293.5819289599999</v>
      </c>
      <c r="K118" s="18">
        <v>65</v>
      </c>
      <c r="L118" s="19">
        <f t="shared" si="2"/>
        <v>5.0248073620089914E-2</v>
      </c>
      <c r="M118" s="19">
        <v>1</v>
      </c>
      <c r="N118" s="18">
        <v>2</v>
      </c>
      <c r="O118" s="22">
        <v>0</v>
      </c>
      <c r="P118" s="22">
        <v>0</v>
      </c>
      <c r="Q118" s="18">
        <v>9</v>
      </c>
    </row>
    <row r="119" spans="1:17" s="19" customFormat="1" x14ac:dyDescent="0.3">
      <c r="A119" s="19">
        <v>118</v>
      </c>
      <c r="B119" s="38">
        <v>0</v>
      </c>
      <c r="C119" s="20">
        <v>1</v>
      </c>
      <c r="D119" s="18">
        <v>0</v>
      </c>
      <c r="E119" s="20">
        <v>41</v>
      </c>
      <c r="F119" s="18">
        <v>1</v>
      </c>
      <c r="G119" s="18">
        <v>4.9000000000000004</v>
      </c>
      <c r="H119" s="19">
        <f>CONVERT(119,"ft","m")*100</f>
        <v>3627.12</v>
      </c>
      <c r="I119" s="18">
        <f t="shared" si="3"/>
        <v>36.2712</v>
      </c>
      <c r="J119" s="18">
        <f>I119*I119</f>
        <v>1315.59994944</v>
      </c>
      <c r="K119" s="18">
        <v>65</v>
      </c>
      <c r="L119" s="19">
        <f t="shared" si="2"/>
        <v>4.940711652327745E-2</v>
      </c>
      <c r="M119" s="19">
        <v>0</v>
      </c>
      <c r="N119" s="18">
        <v>0</v>
      </c>
      <c r="O119" s="22">
        <v>0</v>
      </c>
      <c r="P119" s="22">
        <v>0</v>
      </c>
      <c r="Q119" s="18">
        <v>9</v>
      </c>
    </row>
    <row r="120" spans="1:17" s="19" customFormat="1" x14ac:dyDescent="0.3">
      <c r="A120" s="19">
        <v>119</v>
      </c>
      <c r="B120" s="38">
        <v>0</v>
      </c>
      <c r="C120" s="20">
        <v>1</v>
      </c>
      <c r="D120" s="18">
        <v>0</v>
      </c>
      <c r="E120" s="20">
        <v>18</v>
      </c>
      <c r="F120" s="18">
        <v>1</v>
      </c>
      <c r="G120" s="18">
        <v>5.5</v>
      </c>
      <c r="H120" s="19">
        <f>CONVERT(120,"ft","m")*100</f>
        <v>3657.6</v>
      </c>
      <c r="I120" s="18">
        <f t="shared" si="3"/>
        <v>36.576000000000001</v>
      </c>
      <c r="J120" s="18">
        <f>I120*I120</f>
        <v>1337.803776</v>
      </c>
      <c r="K120" s="18">
        <v>68</v>
      </c>
      <c r="L120" s="19">
        <f t="shared" si="2"/>
        <v>5.0829576967795914E-2</v>
      </c>
      <c r="M120" s="19">
        <v>0</v>
      </c>
      <c r="N120" s="18">
        <v>0</v>
      </c>
      <c r="O120" s="22">
        <v>0</v>
      </c>
      <c r="P120" s="22">
        <v>0</v>
      </c>
      <c r="Q120" s="18">
        <v>9</v>
      </c>
    </row>
    <row r="121" spans="1:17" s="19" customFormat="1" x14ac:dyDescent="0.3">
      <c r="A121" s="19">
        <v>120</v>
      </c>
      <c r="B121" s="38">
        <v>0</v>
      </c>
      <c r="C121" s="20">
        <v>1</v>
      </c>
      <c r="D121" s="18">
        <v>0</v>
      </c>
      <c r="E121" s="20">
        <v>21</v>
      </c>
      <c r="F121" s="18">
        <v>1</v>
      </c>
      <c r="G121" s="18">
        <v>4.9000000000000004</v>
      </c>
      <c r="H121" s="19">
        <f>CONVERT(121,"ft","m")*100</f>
        <v>3688.08</v>
      </c>
      <c r="I121" s="18">
        <f t="shared" si="3"/>
        <v>36.880800000000001</v>
      </c>
      <c r="J121" s="18">
        <f>I121*I121</f>
        <v>1360.1934086400001</v>
      </c>
      <c r="K121" s="18">
        <v>70</v>
      </c>
      <c r="L121" s="19">
        <f t="shared" si="2"/>
        <v>5.1463269528698889E-2</v>
      </c>
      <c r="M121" s="19">
        <v>0</v>
      </c>
      <c r="N121" s="18">
        <v>0</v>
      </c>
      <c r="O121" s="22">
        <v>0</v>
      </c>
      <c r="P121" s="22">
        <v>0</v>
      </c>
      <c r="Q121" s="18">
        <v>9</v>
      </c>
    </row>
    <row r="122" spans="1:17" s="19" customFormat="1" x14ac:dyDescent="0.3">
      <c r="A122" s="19">
        <v>121</v>
      </c>
      <c r="B122" s="38">
        <v>0</v>
      </c>
      <c r="C122" s="20">
        <v>1</v>
      </c>
      <c r="D122" s="18">
        <v>0</v>
      </c>
      <c r="E122" s="20">
        <v>34</v>
      </c>
      <c r="F122" s="18">
        <v>1</v>
      </c>
      <c r="G122" s="18">
        <v>4.9000000000000004</v>
      </c>
      <c r="H122" s="19">
        <f>CONVERT(122,"ft","m")*100</f>
        <v>3718.56</v>
      </c>
      <c r="I122" s="18">
        <f t="shared" si="3"/>
        <v>37.185600000000001</v>
      </c>
      <c r="J122" s="18">
        <f>I122*I122</f>
        <v>1382.7688473600001</v>
      </c>
      <c r="K122" s="18">
        <v>55</v>
      </c>
      <c r="L122" s="19">
        <f t="shared" si="2"/>
        <v>3.977526692549279E-2</v>
      </c>
      <c r="M122" s="19">
        <v>0</v>
      </c>
      <c r="N122" s="18">
        <v>0</v>
      </c>
      <c r="O122" s="22">
        <v>0</v>
      </c>
      <c r="P122" s="22">
        <v>0</v>
      </c>
      <c r="Q122" s="18">
        <v>9</v>
      </c>
    </row>
    <row r="123" spans="1:17" s="19" customFormat="1" x14ac:dyDescent="0.3">
      <c r="A123" s="19">
        <v>122</v>
      </c>
      <c r="B123" s="38">
        <v>0</v>
      </c>
      <c r="C123" s="20">
        <v>1</v>
      </c>
      <c r="D123" s="18">
        <v>0</v>
      </c>
      <c r="E123" s="20">
        <v>18</v>
      </c>
      <c r="F123" s="18">
        <v>1</v>
      </c>
      <c r="G123" s="18">
        <v>6</v>
      </c>
      <c r="H123" s="19">
        <f>CONVERT(123,"ft","m")*100</f>
        <v>3749.04</v>
      </c>
      <c r="I123" s="18">
        <f t="shared" si="3"/>
        <v>37.490400000000001</v>
      </c>
      <c r="J123" s="18">
        <f>I123*I123</f>
        <v>1405.5300921600001</v>
      </c>
      <c r="K123" s="18">
        <v>55</v>
      </c>
      <c r="L123" s="19">
        <f t="shared" si="2"/>
        <v>3.9131143692182874E-2</v>
      </c>
      <c r="M123" s="19">
        <v>1</v>
      </c>
      <c r="N123" s="18">
        <v>0</v>
      </c>
      <c r="O123" s="22">
        <v>0</v>
      </c>
      <c r="P123" s="22">
        <v>0</v>
      </c>
      <c r="Q123" s="18">
        <v>9</v>
      </c>
    </row>
    <row r="124" spans="1:17" s="19" customFormat="1" x14ac:dyDescent="0.3">
      <c r="A124" s="19">
        <v>123</v>
      </c>
      <c r="B124" s="38">
        <v>0</v>
      </c>
      <c r="C124" s="20">
        <v>0</v>
      </c>
      <c r="D124" s="18">
        <v>0</v>
      </c>
      <c r="E124" s="20">
        <v>39</v>
      </c>
      <c r="F124" s="18">
        <v>1</v>
      </c>
      <c r="G124" s="18">
        <v>5.5</v>
      </c>
      <c r="H124" s="19">
        <f>CONVERT(124,"ft","m")*100</f>
        <v>3779.52</v>
      </c>
      <c r="I124" s="18">
        <f t="shared" si="3"/>
        <v>37.795200000000001</v>
      </c>
      <c r="J124" s="18">
        <f>I124*I124</f>
        <v>1428.4771430400001</v>
      </c>
      <c r="K124" s="18">
        <v>67</v>
      </c>
      <c r="L124" s="19">
        <f t="shared" si="2"/>
        <v>4.690309559830589E-2</v>
      </c>
      <c r="M124" s="19">
        <v>0</v>
      </c>
      <c r="N124" s="18">
        <v>0</v>
      </c>
      <c r="O124" s="22">
        <v>0</v>
      </c>
      <c r="P124" s="22">
        <v>0</v>
      </c>
      <c r="Q124" s="18">
        <v>9</v>
      </c>
    </row>
    <row r="125" spans="1:17" s="19" customFormat="1" x14ac:dyDescent="0.3">
      <c r="A125" s="19">
        <v>124</v>
      </c>
      <c r="B125" s="38">
        <v>0</v>
      </c>
      <c r="C125" s="20">
        <v>1</v>
      </c>
      <c r="D125" s="18">
        <v>0</v>
      </c>
      <c r="E125" s="20">
        <v>38</v>
      </c>
      <c r="F125" s="18">
        <v>1</v>
      </c>
      <c r="G125" s="18">
        <v>5.3</v>
      </c>
      <c r="H125" s="19">
        <f>CONVERT(125,"ft","m")*100</f>
        <v>3810</v>
      </c>
      <c r="I125" s="18">
        <f t="shared" si="3"/>
        <v>38.1</v>
      </c>
      <c r="J125" s="18">
        <f>I125*I125</f>
        <v>1451.6100000000001</v>
      </c>
      <c r="K125" s="18">
        <v>68</v>
      </c>
      <c r="L125" s="19">
        <f t="shared" si="2"/>
        <v>4.6844538133520706E-2</v>
      </c>
      <c r="M125" s="19">
        <v>0</v>
      </c>
      <c r="N125" s="18">
        <v>0</v>
      </c>
      <c r="O125" s="22">
        <v>0</v>
      </c>
      <c r="P125" s="22">
        <v>0</v>
      </c>
      <c r="Q125" s="18">
        <v>9</v>
      </c>
    </row>
    <row r="126" spans="1:17" s="19" customFormat="1" x14ac:dyDescent="0.3">
      <c r="A126" s="19">
        <v>125</v>
      </c>
      <c r="B126" s="38">
        <v>0</v>
      </c>
      <c r="C126" s="20">
        <v>0</v>
      </c>
      <c r="D126" s="18">
        <v>0</v>
      </c>
      <c r="E126" s="20">
        <v>35</v>
      </c>
      <c r="F126" s="18">
        <v>1</v>
      </c>
      <c r="G126" s="18">
        <v>4.9000000000000004</v>
      </c>
      <c r="H126" s="19">
        <f>CONVERT(126,"ft","m")*100</f>
        <v>3840.48</v>
      </c>
      <c r="I126" s="18">
        <f t="shared" si="3"/>
        <v>38.404800000000002</v>
      </c>
      <c r="J126" s="18">
        <f>I126*I126</f>
        <v>1474.9286630400002</v>
      </c>
      <c r="K126" s="18">
        <v>69</v>
      </c>
      <c r="L126" s="19">
        <f t="shared" si="2"/>
        <v>4.6781923579804152E-2</v>
      </c>
      <c r="M126" s="19">
        <v>0</v>
      </c>
      <c r="N126" s="18">
        <v>0</v>
      </c>
      <c r="O126" s="22">
        <v>0</v>
      </c>
      <c r="P126" s="22">
        <v>0</v>
      </c>
      <c r="Q126" s="18">
        <v>9</v>
      </c>
    </row>
    <row r="127" spans="1:17" s="19" customFormat="1" x14ac:dyDescent="0.3">
      <c r="A127" s="19">
        <v>126</v>
      </c>
      <c r="B127" s="38">
        <v>0</v>
      </c>
      <c r="C127" s="20">
        <v>0</v>
      </c>
      <c r="D127" s="18">
        <v>0</v>
      </c>
      <c r="E127" s="18">
        <v>67</v>
      </c>
      <c r="F127" s="18">
        <v>1</v>
      </c>
      <c r="G127" s="18">
        <v>4.9000000000000004</v>
      </c>
      <c r="H127" s="19">
        <f>CONVERT(127,"ft","m")*100</f>
        <v>3870.96</v>
      </c>
      <c r="I127" s="18">
        <f t="shared" si="3"/>
        <v>38.709600000000002</v>
      </c>
      <c r="J127" s="18">
        <f>I127*I127</f>
        <v>1498.4331321600002</v>
      </c>
      <c r="K127" s="18">
        <v>80</v>
      </c>
      <c r="L127" s="19">
        <f t="shared" si="2"/>
        <v>5.3389102445085102E-2</v>
      </c>
      <c r="M127" s="19">
        <v>0</v>
      </c>
      <c r="N127" s="18">
        <v>0</v>
      </c>
      <c r="O127" s="22">
        <v>0</v>
      </c>
      <c r="P127" s="22">
        <v>0</v>
      </c>
      <c r="Q127" s="18">
        <v>9</v>
      </c>
    </row>
    <row r="128" spans="1:17" s="19" customFormat="1" x14ac:dyDescent="0.3">
      <c r="A128" s="19">
        <v>127</v>
      </c>
      <c r="B128" s="38">
        <v>0</v>
      </c>
      <c r="C128" s="20">
        <v>0</v>
      </c>
      <c r="D128" s="18">
        <v>0</v>
      </c>
      <c r="E128" s="18">
        <v>46</v>
      </c>
      <c r="F128" s="18">
        <v>1</v>
      </c>
      <c r="G128" s="18">
        <v>5.5</v>
      </c>
      <c r="H128" s="19">
        <f>CONVERT(128,"ft","m")*100</f>
        <v>3901.44</v>
      </c>
      <c r="I128" s="18">
        <f t="shared" si="3"/>
        <v>39.014400000000002</v>
      </c>
      <c r="J128" s="18">
        <f>I128*I128</f>
        <v>1522.1234073600001</v>
      </c>
      <c r="K128" s="18">
        <v>90</v>
      </c>
      <c r="L128" s="19">
        <f t="shared" si="2"/>
        <v>5.9127925873039243E-2</v>
      </c>
      <c r="M128" s="19">
        <v>0</v>
      </c>
      <c r="N128" s="18">
        <v>0</v>
      </c>
      <c r="O128" s="22">
        <v>0</v>
      </c>
      <c r="P128" s="22">
        <v>0</v>
      </c>
      <c r="Q128" s="18">
        <v>9</v>
      </c>
    </row>
    <row r="129" spans="1:17" s="19" customFormat="1" x14ac:dyDescent="0.3">
      <c r="A129" s="19">
        <v>128</v>
      </c>
      <c r="B129" s="38">
        <v>0</v>
      </c>
      <c r="C129" s="20">
        <v>1</v>
      </c>
      <c r="D129" s="18">
        <v>0</v>
      </c>
      <c r="E129" s="18">
        <v>55</v>
      </c>
      <c r="F129" s="18">
        <v>1</v>
      </c>
      <c r="G129" s="18">
        <v>5.3</v>
      </c>
      <c r="H129" s="19">
        <f>CONVERT(129,"ft","m")*100</f>
        <v>3931.92</v>
      </c>
      <c r="I129" s="18">
        <f t="shared" si="3"/>
        <v>39.319200000000002</v>
      </c>
      <c r="J129" s="18">
        <f>I129*I129</f>
        <v>1545.9994886400002</v>
      </c>
      <c r="K129" s="18">
        <v>60</v>
      </c>
      <c r="L129" s="19">
        <f t="shared" si="2"/>
        <v>3.8809844660932832E-2</v>
      </c>
      <c r="M129" s="19">
        <v>0</v>
      </c>
      <c r="N129" s="18">
        <v>0</v>
      </c>
      <c r="O129" s="22">
        <v>0</v>
      </c>
      <c r="P129" s="22">
        <v>0</v>
      </c>
      <c r="Q129" s="18">
        <v>9</v>
      </c>
    </row>
    <row r="130" spans="1:17" s="19" customFormat="1" x14ac:dyDescent="0.3">
      <c r="A130" s="19">
        <v>129</v>
      </c>
      <c r="B130" s="38">
        <v>0</v>
      </c>
      <c r="C130" s="20">
        <v>1</v>
      </c>
      <c r="D130" s="18">
        <v>0</v>
      </c>
      <c r="E130" s="18">
        <v>55</v>
      </c>
      <c r="F130" s="18">
        <v>0</v>
      </c>
      <c r="G130" s="18">
        <v>5.5</v>
      </c>
      <c r="H130" s="19">
        <f>CONVERT(130,"ft","m")*100</f>
        <v>3962.4</v>
      </c>
      <c r="I130" s="18">
        <f t="shared" si="3"/>
        <v>39.624000000000002</v>
      </c>
      <c r="J130" s="18">
        <f>I130*I130</f>
        <v>1570.0613760000001</v>
      </c>
      <c r="K130" s="18">
        <v>66</v>
      </c>
      <c r="L130" s="19">
        <f t="shared" ref="L130:L193" si="4">K130/J130</f>
        <v>4.2036573225020211E-2</v>
      </c>
      <c r="M130" s="19">
        <v>1</v>
      </c>
      <c r="N130" s="18">
        <v>0</v>
      </c>
      <c r="O130" s="22">
        <v>0</v>
      </c>
      <c r="P130" s="22">
        <v>0</v>
      </c>
      <c r="Q130" s="18">
        <v>9</v>
      </c>
    </row>
    <row r="131" spans="1:17" s="19" customFormat="1" x14ac:dyDescent="0.3">
      <c r="A131" s="19">
        <v>130</v>
      </c>
      <c r="B131" s="38">
        <v>0</v>
      </c>
      <c r="C131" s="20">
        <v>1</v>
      </c>
      <c r="D131" s="18">
        <v>0</v>
      </c>
      <c r="E131" s="18">
        <v>66</v>
      </c>
      <c r="F131" s="18">
        <v>1</v>
      </c>
      <c r="G131" s="18">
        <v>4.9000000000000004</v>
      </c>
      <c r="H131" s="19">
        <f>CONVERT(131,"ft","m")*100</f>
        <v>3992.88</v>
      </c>
      <c r="I131" s="18">
        <f t="shared" ref="I131:I195" si="5">H131/100</f>
        <v>39.928800000000003</v>
      </c>
      <c r="J131" s="18">
        <f>I131*I131</f>
        <v>1594.3090694400003</v>
      </c>
      <c r="K131" s="18">
        <v>55</v>
      </c>
      <c r="L131" s="19">
        <f t="shared" si="4"/>
        <v>3.4497702518445E-2</v>
      </c>
      <c r="M131" s="19">
        <v>1</v>
      </c>
      <c r="N131" s="18">
        <v>2</v>
      </c>
      <c r="O131" s="22">
        <v>0</v>
      </c>
      <c r="P131" s="22">
        <v>0</v>
      </c>
      <c r="Q131" s="18">
        <v>9</v>
      </c>
    </row>
    <row r="132" spans="1:17" s="19" customFormat="1" x14ac:dyDescent="0.3">
      <c r="A132" s="19">
        <v>131</v>
      </c>
      <c r="B132" s="38">
        <v>0</v>
      </c>
      <c r="C132" s="20">
        <v>1</v>
      </c>
      <c r="D132" s="18">
        <v>0</v>
      </c>
      <c r="E132" s="18">
        <v>45</v>
      </c>
      <c r="F132" s="18">
        <v>0</v>
      </c>
      <c r="G132" s="18">
        <v>5.3</v>
      </c>
      <c r="H132" s="19">
        <f>CONVERT(132,"ft","m")*100</f>
        <v>4023.36</v>
      </c>
      <c r="I132" s="18">
        <f t="shared" si="5"/>
        <v>40.233600000000003</v>
      </c>
      <c r="J132" s="18">
        <f>I132*I132</f>
        <v>1618.7425689600002</v>
      </c>
      <c r="K132" s="18">
        <v>60</v>
      </c>
      <c r="L132" s="19">
        <f t="shared" si="4"/>
        <v>3.7065807220074798E-2</v>
      </c>
      <c r="M132" s="19">
        <v>1</v>
      </c>
      <c r="N132" s="18">
        <v>2</v>
      </c>
      <c r="O132" s="22">
        <v>0</v>
      </c>
      <c r="P132" s="22">
        <v>0</v>
      </c>
      <c r="Q132" s="18">
        <v>10.5</v>
      </c>
    </row>
    <row r="133" spans="1:17" s="19" customFormat="1" x14ac:dyDescent="0.3">
      <c r="A133" s="19">
        <v>132</v>
      </c>
      <c r="B133" s="38">
        <v>0</v>
      </c>
      <c r="C133" s="20">
        <v>1</v>
      </c>
      <c r="D133" s="18">
        <v>0</v>
      </c>
      <c r="E133" s="18">
        <v>89</v>
      </c>
      <c r="F133" s="18">
        <v>1</v>
      </c>
      <c r="G133" s="18">
        <v>4.9000000000000004</v>
      </c>
      <c r="H133" s="19">
        <f>CONVERT(133,"ft","m")*100</f>
        <v>4053.84</v>
      </c>
      <c r="I133" s="18">
        <f t="shared" si="5"/>
        <v>40.538400000000003</v>
      </c>
      <c r="J133" s="18">
        <f>I133*I133</f>
        <v>1643.3618745600002</v>
      </c>
      <c r="K133" s="18">
        <v>40</v>
      </c>
      <c r="L133" s="19">
        <f t="shared" si="4"/>
        <v>2.4340348050674931E-2</v>
      </c>
      <c r="M133" s="19">
        <v>1</v>
      </c>
      <c r="N133" s="18">
        <v>2</v>
      </c>
      <c r="O133" s="22">
        <v>0</v>
      </c>
      <c r="P133" s="22">
        <v>0</v>
      </c>
      <c r="Q133" s="18">
        <v>10.5</v>
      </c>
    </row>
    <row r="134" spans="1:17" s="19" customFormat="1" x14ac:dyDescent="0.3">
      <c r="A134" s="19">
        <v>133</v>
      </c>
      <c r="B134" s="38">
        <v>0</v>
      </c>
      <c r="C134" s="20">
        <v>1</v>
      </c>
      <c r="D134" s="18">
        <v>0</v>
      </c>
      <c r="E134" s="18">
        <v>56</v>
      </c>
      <c r="F134" s="18">
        <v>1</v>
      </c>
      <c r="G134" s="18">
        <v>5.5</v>
      </c>
      <c r="H134" s="19">
        <f>CONVERT(134,"ft","m")*100</f>
        <v>4084.32</v>
      </c>
      <c r="I134" s="18">
        <f t="shared" si="5"/>
        <v>40.843200000000003</v>
      </c>
      <c r="J134" s="18">
        <f>I134*I134</f>
        <v>1668.1669862400001</v>
      </c>
      <c r="K134" s="18">
        <v>50</v>
      </c>
      <c r="L134" s="19">
        <f t="shared" si="4"/>
        <v>2.9973018536170976E-2</v>
      </c>
      <c r="M134" s="19">
        <v>1</v>
      </c>
      <c r="N134" s="18">
        <v>2</v>
      </c>
      <c r="O134" s="22">
        <v>0</v>
      </c>
      <c r="P134" s="22">
        <v>0</v>
      </c>
      <c r="Q134" s="18">
        <v>10.5</v>
      </c>
    </row>
    <row r="135" spans="1:17" s="19" customFormat="1" x14ac:dyDescent="0.3">
      <c r="A135" s="19">
        <v>134</v>
      </c>
      <c r="B135" s="38">
        <v>0</v>
      </c>
      <c r="C135" s="20">
        <v>1</v>
      </c>
      <c r="D135" s="18">
        <v>0</v>
      </c>
      <c r="E135" s="18">
        <v>35</v>
      </c>
      <c r="F135" s="18">
        <v>5</v>
      </c>
      <c r="G135" s="18">
        <v>5</v>
      </c>
      <c r="H135" s="19">
        <f>CONVERT(135,"ft","m")*100</f>
        <v>4114.8</v>
      </c>
      <c r="I135" s="18">
        <f t="shared" si="5"/>
        <v>41.148000000000003</v>
      </c>
      <c r="J135" s="18">
        <f>I135*I135</f>
        <v>1693.1579040000004</v>
      </c>
      <c r="K135" s="18">
        <v>50</v>
      </c>
      <c r="L135" s="19">
        <f t="shared" si="4"/>
        <v>2.9530618427187159E-2</v>
      </c>
      <c r="M135" s="19">
        <v>1</v>
      </c>
      <c r="N135" s="18">
        <v>2</v>
      </c>
      <c r="O135" s="22">
        <v>0</v>
      </c>
      <c r="P135" s="22">
        <v>0</v>
      </c>
      <c r="Q135" s="18">
        <v>10.5</v>
      </c>
    </row>
    <row r="136" spans="1:17" s="19" customFormat="1" x14ac:dyDescent="0.3">
      <c r="A136" s="19">
        <v>135</v>
      </c>
      <c r="B136" s="38">
        <v>0</v>
      </c>
      <c r="C136" s="20">
        <v>1</v>
      </c>
      <c r="D136" s="18">
        <v>0</v>
      </c>
      <c r="E136" s="18">
        <v>25</v>
      </c>
      <c r="F136" s="18">
        <v>6</v>
      </c>
      <c r="G136" s="18">
        <v>5.5</v>
      </c>
      <c r="H136" s="19">
        <f>CONVERT(136,"ft","m")*100</f>
        <v>4145.2800000000007</v>
      </c>
      <c r="I136" s="18">
        <f t="shared" si="5"/>
        <v>41.452800000000003</v>
      </c>
      <c r="J136" s="18">
        <f>I136*I136</f>
        <v>1718.3346278400004</v>
      </c>
      <c r="K136" s="18">
        <v>60</v>
      </c>
      <c r="L136" s="19">
        <f t="shared" si="4"/>
        <v>3.4917529465970112E-2</v>
      </c>
      <c r="M136" s="19">
        <v>1</v>
      </c>
      <c r="N136" s="18">
        <v>0</v>
      </c>
      <c r="O136" s="22">
        <v>0</v>
      </c>
      <c r="P136" s="22">
        <v>0</v>
      </c>
      <c r="Q136" s="18">
        <v>10.5</v>
      </c>
    </row>
    <row r="137" spans="1:17" s="19" customFormat="1" x14ac:dyDescent="0.3">
      <c r="A137" s="19">
        <v>136</v>
      </c>
      <c r="B137" s="38">
        <v>0</v>
      </c>
      <c r="C137" s="20">
        <v>0</v>
      </c>
      <c r="D137" s="18">
        <v>0</v>
      </c>
      <c r="E137" s="18">
        <v>77</v>
      </c>
      <c r="F137" s="18">
        <v>1</v>
      </c>
      <c r="G137" s="18">
        <v>5.5</v>
      </c>
      <c r="H137" s="19">
        <f>CONVERT(137,"ft","m")*100</f>
        <v>4175.7599999999993</v>
      </c>
      <c r="I137" s="18">
        <f t="shared" si="5"/>
        <v>41.757599999999996</v>
      </c>
      <c r="J137" s="18">
        <f>I137*I137</f>
        <v>1743.6971577599998</v>
      </c>
      <c r="K137" s="18">
        <v>55</v>
      </c>
      <c r="L137" s="19">
        <f t="shared" si="4"/>
        <v>3.1542174485536513E-2</v>
      </c>
      <c r="M137" s="19">
        <v>1</v>
      </c>
      <c r="N137" s="18">
        <v>0</v>
      </c>
      <c r="O137" s="22">
        <v>0</v>
      </c>
      <c r="P137" s="22">
        <v>0</v>
      </c>
      <c r="Q137" s="18">
        <v>10.5</v>
      </c>
    </row>
    <row r="138" spans="1:17" s="19" customFormat="1" x14ac:dyDescent="0.3">
      <c r="A138" s="19">
        <v>137</v>
      </c>
      <c r="B138" s="38">
        <v>0</v>
      </c>
      <c r="C138" s="20">
        <v>0</v>
      </c>
      <c r="D138" s="18">
        <v>0</v>
      </c>
      <c r="E138" s="18">
        <v>56</v>
      </c>
      <c r="F138" s="18">
        <v>1</v>
      </c>
      <c r="G138" s="18">
        <v>4.9000000000000004</v>
      </c>
      <c r="H138" s="19">
        <f>CONVERT(138,"ft","m")*100</f>
        <v>4206.24</v>
      </c>
      <c r="I138" s="18">
        <f t="shared" si="5"/>
        <v>42.062399999999997</v>
      </c>
      <c r="J138" s="18">
        <f>I138*I138</f>
        <v>1769.2454937599998</v>
      </c>
      <c r="K138" s="18">
        <v>55</v>
      </c>
      <c r="L138" s="19">
        <f t="shared" si="4"/>
        <v>3.1086697800831484E-2</v>
      </c>
      <c r="M138" s="19">
        <v>1</v>
      </c>
      <c r="N138" s="18">
        <v>0</v>
      </c>
      <c r="O138" s="22">
        <v>0</v>
      </c>
      <c r="P138" s="22">
        <v>0</v>
      </c>
      <c r="Q138" s="18">
        <v>10.5</v>
      </c>
    </row>
    <row r="139" spans="1:17" s="19" customFormat="1" x14ac:dyDescent="0.3">
      <c r="A139" s="19">
        <v>138</v>
      </c>
      <c r="B139" s="38">
        <v>0</v>
      </c>
      <c r="C139" s="20">
        <v>1</v>
      </c>
      <c r="D139" s="18">
        <v>0</v>
      </c>
      <c r="E139" s="18">
        <v>45</v>
      </c>
      <c r="F139" s="18">
        <v>1</v>
      </c>
      <c r="G139" s="18">
        <v>5</v>
      </c>
      <c r="H139" s="19">
        <f>CONVERT(139,"ft","m")*100</f>
        <v>4236.7199999999993</v>
      </c>
      <c r="I139" s="18">
        <f t="shared" si="5"/>
        <v>42.367199999999997</v>
      </c>
      <c r="J139" s="18">
        <f>I139*I139</f>
        <v>1794.9796358399997</v>
      </c>
      <c r="K139" s="18">
        <v>55</v>
      </c>
      <c r="L139" s="19">
        <f t="shared" si="4"/>
        <v>3.0641016144041966E-2</v>
      </c>
      <c r="M139" s="19">
        <v>1</v>
      </c>
      <c r="N139" s="18">
        <v>0</v>
      </c>
      <c r="O139" s="22">
        <v>0</v>
      </c>
      <c r="P139" s="22">
        <v>0</v>
      </c>
      <c r="Q139" s="18">
        <v>10.5</v>
      </c>
    </row>
    <row r="140" spans="1:17" s="19" customFormat="1" x14ac:dyDescent="0.3">
      <c r="A140" s="19">
        <v>139</v>
      </c>
      <c r="B140" s="38">
        <v>0</v>
      </c>
      <c r="C140" s="20">
        <v>1</v>
      </c>
      <c r="D140" s="18">
        <v>0</v>
      </c>
      <c r="E140" s="18">
        <v>67</v>
      </c>
      <c r="F140" s="18">
        <v>1</v>
      </c>
      <c r="G140" s="18">
        <v>5.5</v>
      </c>
      <c r="H140" s="19">
        <f>CONVERT(140,"ft","m")*100</f>
        <v>4267.2</v>
      </c>
      <c r="I140" s="18">
        <f t="shared" si="5"/>
        <v>42.671999999999997</v>
      </c>
      <c r="J140" s="18">
        <f>I140*I140</f>
        <v>1820.8995839999998</v>
      </c>
      <c r="K140" s="18">
        <v>67</v>
      </c>
      <c r="L140" s="19">
        <f t="shared" si="4"/>
        <v>3.6794999893854666E-2</v>
      </c>
      <c r="M140" s="19">
        <v>1</v>
      </c>
      <c r="N140" s="18">
        <v>0</v>
      </c>
      <c r="O140" s="22">
        <v>0</v>
      </c>
      <c r="P140" s="22">
        <v>0</v>
      </c>
      <c r="Q140" s="18">
        <v>10.5</v>
      </c>
    </row>
    <row r="141" spans="1:17" s="19" customFormat="1" x14ac:dyDescent="0.3">
      <c r="A141" s="19">
        <v>140</v>
      </c>
      <c r="B141" s="38">
        <v>0</v>
      </c>
      <c r="C141" s="20">
        <v>1</v>
      </c>
      <c r="D141" s="18">
        <v>0</v>
      </c>
      <c r="E141" s="18">
        <v>76</v>
      </c>
      <c r="F141" s="18">
        <v>1</v>
      </c>
      <c r="G141" s="18">
        <v>5.5</v>
      </c>
      <c r="H141" s="19">
        <f>CONVERT(141,"ft","m")*100</f>
        <v>4297.6799999999994</v>
      </c>
      <c r="I141" s="18">
        <f t="shared" si="5"/>
        <v>42.976799999999997</v>
      </c>
      <c r="J141" s="18">
        <f>I141*I141</f>
        <v>1847.0053382399997</v>
      </c>
      <c r="K141" s="18">
        <v>68</v>
      </c>
      <c r="L141" s="19">
        <f t="shared" si="4"/>
        <v>3.681635271547011E-2</v>
      </c>
      <c r="M141" s="19">
        <v>1</v>
      </c>
      <c r="N141" s="18">
        <v>0</v>
      </c>
      <c r="O141" s="22">
        <v>0</v>
      </c>
      <c r="P141" s="22">
        <v>0</v>
      </c>
      <c r="Q141" s="18">
        <v>10.5</v>
      </c>
    </row>
    <row r="142" spans="1:17" s="19" customFormat="1" x14ac:dyDescent="0.3">
      <c r="A142" s="19">
        <v>141</v>
      </c>
      <c r="B142" s="38">
        <v>0</v>
      </c>
      <c r="C142" s="20">
        <v>0</v>
      </c>
      <c r="D142" s="18">
        <v>0</v>
      </c>
      <c r="E142" s="18">
        <v>54</v>
      </c>
      <c r="F142" s="18">
        <v>1</v>
      </c>
      <c r="G142" s="18">
        <v>4.9000000000000004</v>
      </c>
      <c r="H142" s="19">
        <f>CONVERT(142,"ft","m")*100</f>
        <v>4328.16</v>
      </c>
      <c r="I142" s="18">
        <f t="shared" si="5"/>
        <v>43.281599999999997</v>
      </c>
      <c r="J142" s="18">
        <f>I142*I142</f>
        <v>1873.2968985599998</v>
      </c>
      <c r="K142" s="18">
        <v>69</v>
      </c>
      <c r="L142" s="19">
        <f t="shared" si="4"/>
        <v>3.6833456593581178E-2</v>
      </c>
      <c r="M142" s="19">
        <v>1</v>
      </c>
      <c r="N142" s="18">
        <v>0</v>
      </c>
      <c r="O142" s="22">
        <v>0</v>
      </c>
      <c r="P142" s="22">
        <v>0</v>
      </c>
      <c r="Q142" s="18">
        <v>10.5</v>
      </c>
    </row>
    <row r="143" spans="1:17" s="19" customFormat="1" x14ac:dyDescent="0.3">
      <c r="A143" s="19">
        <v>142</v>
      </c>
      <c r="B143" s="38">
        <v>0</v>
      </c>
      <c r="C143" s="20">
        <v>1</v>
      </c>
      <c r="D143" s="18">
        <v>0</v>
      </c>
      <c r="E143" s="18">
        <v>50</v>
      </c>
      <c r="F143" s="18">
        <v>1</v>
      </c>
      <c r="G143" s="18">
        <v>5</v>
      </c>
      <c r="H143" s="19">
        <f>CONVERT(143,"ft","m")*100</f>
        <v>4358.6399999999994</v>
      </c>
      <c r="I143" s="18">
        <f t="shared" si="5"/>
        <v>43.586399999999998</v>
      </c>
      <c r="J143" s="18">
        <f>I143*I143</f>
        <v>1899.7742649599998</v>
      </c>
      <c r="K143" s="18">
        <v>80</v>
      </c>
      <c r="L143" s="19">
        <f t="shared" si="4"/>
        <v>4.2110266190854215E-2</v>
      </c>
      <c r="M143" s="19">
        <v>1</v>
      </c>
      <c r="N143" s="18">
        <v>0</v>
      </c>
      <c r="O143" s="22">
        <v>0</v>
      </c>
      <c r="P143" s="22">
        <v>0</v>
      </c>
      <c r="Q143" s="18">
        <v>10.5</v>
      </c>
    </row>
    <row r="144" spans="1:17" s="19" customFormat="1" x14ac:dyDescent="0.3">
      <c r="A144" s="19">
        <v>143</v>
      </c>
      <c r="B144" s="38">
        <v>0</v>
      </c>
      <c r="C144" s="20">
        <v>1</v>
      </c>
      <c r="D144" s="18">
        <v>0</v>
      </c>
      <c r="E144" s="18">
        <v>30</v>
      </c>
      <c r="F144" s="18">
        <v>1</v>
      </c>
      <c r="G144" s="18">
        <v>5.5</v>
      </c>
      <c r="H144" s="19">
        <f>CONVERT(144,"ft","m")*100</f>
        <v>4389.12</v>
      </c>
      <c r="I144" s="18">
        <f t="shared" si="5"/>
        <v>43.891199999999998</v>
      </c>
      <c r="J144" s="18">
        <f>I144*I144</f>
        <v>1926.4374374399997</v>
      </c>
      <c r="K144" s="18">
        <v>90</v>
      </c>
      <c r="L144" s="19">
        <f t="shared" si="4"/>
        <v>4.6718361183635954E-2</v>
      </c>
      <c r="M144" s="19">
        <v>1</v>
      </c>
      <c r="N144" s="18">
        <v>2</v>
      </c>
      <c r="O144" s="22">
        <v>0</v>
      </c>
      <c r="P144" s="22">
        <v>0</v>
      </c>
      <c r="Q144" s="18">
        <v>10.5</v>
      </c>
    </row>
    <row r="145" spans="1:17" s="19" customFormat="1" x14ac:dyDescent="0.3">
      <c r="A145" s="19">
        <v>144</v>
      </c>
      <c r="B145" s="38">
        <v>0</v>
      </c>
      <c r="C145" s="20">
        <v>1</v>
      </c>
      <c r="D145" s="18">
        <v>0</v>
      </c>
      <c r="E145" s="18">
        <v>25</v>
      </c>
      <c r="F145" s="18">
        <v>1</v>
      </c>
      <c r="G145" s="18">
        <v>5</v>
      </c>
      <c r="H145" s="19">
        <f>CONVERT(145,"ft","m")*100</f>
        <v>4419.5999999999995</v>
      </c>
      <c r="I145" s="18">
        <f t="shared" si="5"/>
        <v>44.195999999999998</v>
      </c>
      <c r="J145" s="18">
        <f>I145*I145</f>
        <v>1953.2864159999999</v>
      </c>
      <c r="K145" s="18">
        <v>60</v>
      </c>
      <c r="L145" s="19">
        <f t="shared" si="4"/>
        <v>3.0717461355652002E-2</v>
      </c>
      <c r="M145" s="19">
        <v>1</v>
      </c>
      <c r="N145" s="18">
        <v>2</v>
      </c>
      <c r="O145" s="22">
        <v>0</v>
      </c>
      <c r="P145" s="22">
        <v>0</v>
      </c>
      <c r="Q145" s="18">
        <v>10.5</v>
      </c>
    </row>
    <row r="146" spans="1:17" s="19" customFormat="1" x14ac:dyDescent="0.3">
      <c r="A146" s="19">
        <v>145</v>
      </c>
      <c r="B146" s="38">
        <v>0</v>
      </c>
      <c r="C146" s="20">
        <v>1</v>
      </c>
      <c r="D146" s="18">
        <v>0</v>
      </c>
      <c r="E146" s="18">
        <v>40</v>
      </c>
      <c r="F146" s="18">
        <v>7</v>
      </c>
      <c r="G146" s="18">
        <v>4.9000000000000004</v>
      </c>
      <c r="H146" s="19">
        <f>CONVERT(146,"ft","m")*100</f>
        <v>4450.08</v>
      </c>
      <c r="I146" s="18">
        <f t="shared" si="5"/>
        <v>44.500799999999998</v>
      </c>
      <c r="J146" s="18">
        <f>I146*I146</f>
        <v>1980.3212006399999</v>
      </c>
      <c r="K146" s="18">
        <v>66</v>
      </c>
      <c r="L146" s="19">
        <f t="shared" si="4"/>
        <v>3.3327926792214378E-2</v>
      </c>
      <c r="M146" s="19">
        <v>1</v>
      </c>
      <c r="N146" s="18">
        <v>2</v>
      </c>
      <c r="O146" s="22">
        <v>0</v>
      </c>
      <c r="P146" s="22">
        <v>0</v>
      </c>
      <c r="Q146" s="18">
        <v>9.6</v>
      </c>
    </row>
    <row r="147" spans="1:17" s="19" customFormat="1" x14ac:dyDescent="0.3">
      <c r="A147" s="19">
        <v>146</v>
      </c>
      <c r="B147" s="38">
        <v>0</v>
      </c>
      <c r="C147" s="20">
        <v>1</v>
      </c>
      <c r="D147" s="18">
        <v>0</v>
      </c>
      <c r="E147" s="18">
        <v>53</v>
      </c>
      <c r="F147" s="18">
        <v>1</v>
      </c>
      <c r="G147" s="18">
        <v>4.9000000000000004</v>
      </c>
      <c r="H147" s="19">
        <f>CONVERT(147,"ft","m")*100</f>
        <v>4480.5599999999995</v>
      </c>
      <c r="I147" s="18">
        <f t="shared" si="5"/>
        <v>44.805599999999998</v>
      </c>
      <c r="J147" s="18">
        <f>I147*I147</f>
        <v>2007.5417913599999</v>
      </c>
      <c r="K147" s="18">
        <v>55</v>
      </c>
      <c r="L147" s="19">
        <f t="shared" si="4"/>
        <v>2.7396689940257981E-2</v>
      </c>
      <c r="M147" s="19">
        <v>1</v>
      </c>
      <c r="N147" s="18">
        <v>2</v>
      </c>
      <c r="O147" s="22">
        <v>0</v>
      </c>
      <c r="P147" s="22">
        <v>0</v>
      </c>
      <c r="Q147" s="18">
        <v>9.6</v>
      </c>
    </row>
    <row r="148" spans="1:17" s="19" customFormat="1" x14ac:dyDescent="0.3">
      <c r="A148" s="19">
        <v>147</v>
      </c>
      <c r="B148" s="38">
        <v>0</v>
      </c>
      <c r="C148" s="20">
        <v>1</v>
      </c>
      <c r="D148" s="18">
        <v>0</v>
      </c>
      <c r="E148" s="18">
        <v>55</v>
      </c>
      <c r="F148" s="18">
        <v>1</v>
      </c>
      <c r="G148" s="18">
        <v>6</v>
      </c>
      <c r="H148" s="19">
        <f>CONVERT(148,"ft","m")*100</f>
        <v>4511.04</v>
      </c>
      <c r="I148" s="18">
        <f t="shared" si="5"/>
        <v>45.110399999999998</v>
      </c>
      <c r="J148" s="18">
        <f>I148*I148</f>
        <v>2034.94818816</v>
      </c>
      <c r="K148" s="18">
        <v>60</v>
      </c>
      <c r="L148" s="19">
        <f t="shared" si="4"/>
        <v>2.9484780177254536E-2</v>
      </c>
      <c r="M148" s="19">
        <v>1</v>
      </c>
      <c r="N148" s="18">
        <v>2</v>
      </c>
      <c r="O148" s="22">
        <v>0</v>
      </c>
      <c r="P148" s="22">
        <v>0</v>
      </c>
      <c r="Q148" s="18">
        <v>9.6</v>
      </c>
    </row>
    <row r="149" spans="1:17" s="19" customFormat="1" x14ac:dyDescent="0.3">
      <c r="A149" s="19">
        <v>148</v>
      </c>
      <c r="B149" s="38">
        <v>0</v>
      </c>
      <c r="C149" s="20">
        <v>1</v>
      </c>
      <c r="D149" s="18">
        <v>0</v>
      </c>
      <c r="E149" s="18">
        <v>47</v>
      </c>
      <c r="F149" s="18">
        <v>1</v>
      </c>
      <c r="G149" s="18">
        <v>5.5</v>
      </c>
      <c r="H149" s="19">
        <f>CONVERT(149,"ft","m")*100</f>
        <v>4541.5199999999995</v>
      </c>
      <c r="I149" s="18">
        <f t="shared" si="5"/>
        <v>45.415199999999999</v>
      </c>
      <c r="J149" s="18">
        <f>I149*I149</f>
        <v>2062.54039104</v>
      </c>
      <c r="K149" s="18">
        <v>40</v>
      </c>
      <c r="L149" s="19">
        <f t="shared" si="4"/>
        <v>1.9393559599495017E-2</v>
      </c>
      <c r="M149" s="19">
        <v>1</v>
      </c>
      <c r="N149" s="18">
        <v>2</v>
      </c>
      <c r="O149" s="22">
        <v>0</v>
      </c>
      <c r="P149" s="22">
        <v>0</v>
      </c>
      <c r="Q149" s="18">
        <v>9.6</v>
      </c>
    </row>
    <row r="150" spans="1:17" s="19" customFormat="1" x14ac:dyDescent="0.3">
      <c r="A150" s="19">
        <v>149</v>
      </c>
      <c r="B150" s="38">
        <v>0</v>
      </c>
      <c r="C150" s="20">
        <v>1</v>
      </c>
      <c r="D150" s="18">
        <v>0</v>
      </c>
      <c r="E150" s="18">
        <v>58</v>
      </c>
      <c r="F150" s="18">
        <v>7</v>
      </c>
      <c r="G150" s="18">
        <v>5.3</v>
      </c>
      <c r="H150" s="19">
        <f>CONVERT(150,"ft","m")*100</f>
        <v>4572</v>
      </c>
      <c r="I150" s="18">
        <f t="shared" si="5"/>
        <v>45.72</v>
      </c>
      <c r="J150" s="18">
        <f>I150*I150</f>
        <v>2090.3184000000001</v>
      </c>
      <c r="K150" s="18">
        <v>50</v>
      </c>
      <c r="L150" s="19">
        <f t="shared" si="4"/>
        <v>2.3919800926021605E-2</v>
      </c>
      <c r="M150" s="19">
        <v>1</v>
      </c>
      <c r="N150" s="18">
        <v>2</v>
      </c>
      <c r="O150" s="22">
        <v>0</v>
      </c>
      <c r="P150" s="22">
        <v>0</v>
      </c>
      <c r="Q150" s="18">
        <v>9.6</v>
      </c>
    </row>
    <row r="151" spans="1:17" s="19" customFormat="1" x14ac:dyDescent="0.3">
      <c r="A151" s="19">
        <v>150</v>
      </c>
      <c r="B151" s="38">
        <v>0</v>
      </c>
      <c r="C151" s="20">
        <v>1</v>
      </c>
      <c r="D151" s="18">
        <v>0</v>
      </c>
      <c r="E151" s="18">
        <v>55</v>
      </c>
      <c r="F151" s="18">
        <v>1</v>
      </c>
      <c r="G151" s="18">
        <v>4.9000000000000004</v>
      </c>
      <c r="H151" s="19">
        <f>CONVERT(151,"ft","m")*100</f>
        <v>4602.4799999999996</v>
      </c>
      <c r="I151" s="18">
        <f t="shared" si="5"/>
        <v>46.024799999999999</v>
      </c>
      <c r="J151" s="18">
        <f>I151*I151</f>
        <v>2118.2822150399998</v>
      </c>
      <c r="K151" s="18">
        <v>50</v>
      </c>
      <c r="L151" s="19">
        <f t="shared" si="4"/>
        <v>2.3604031438774008E-2</v>
      </c>
      <c r="M151" s="19">
        <v>1</v>
      </c>
      <c r="N151" s="18">
        <v>2</v>
      </c>
      <c r="O151" s="22">
        <v>0</v>
      </c>
      <c r="P151" s="22">
        <v>0</v>
      </c>
      <c r="Q151" s="18">
        <v>9.6</v>
      </c>
    </row>
    <row r="152" spans="1:17" s="19" customFormat="1" x14ac:dyDescent="0.3">
      <c r="A152" s="19">
        <v>151</v>
      </c>
      <c r="B152" s="38">
        <v>0</v>
      </c>
      <c r="C152" s="20">
        <v>1</v>
      </c>
      <c r="D152" s="18">
        <v>0</v>
      </c>
      <c r="E152" s="18">
        <v>70</v>
      </c>
      <c r="F152" s="18">
        <v>1</v>
      </c>
      <c r="G152" s="18">
        <v>5.5</v>
      </c>
      <c r="H152" s="19">
        <f>CONVERT(152,"ft","m")*100</f>
        <v>4632.96</v>
      </c>
      <c r="I152" s="18">
        <f t="shared" si="5"/>
        <v>46.329599999999999</v>
      </c>
      <c r="J152" s="18">
        <f>I152*I152</f>
        <v>2146.4318361599999</v>
      </c>
      <c r="K152" s="18">
        <v>60</v>
      </c>
      <c r="L152" s="19">
        <f t="shared" si="4"/>
        <v>2.7953368464446994E-2</v>
      </c>
      <c r="M152" s="19">
        <v>1</v>
      </c>
      <c r="N152" s="18">
        <v>2</v>
      </c>
      <c r="O152" s="22">
        <v>0</v>
      </c>
      <c r="P152" s="22">
        <v>0</v>
      </c>
      <c r="Q152" s="18">
        <v>9.6</v>
      </c>
    </row>
    <row r="153" spans="1:17" s="19" customFormat="1" x14ac:dyDescent="0.3">
      <c r="A153" s="19">
        <v>152</v>
      </c>
      <c r="B153" s="38">
        <v>0</v>
      </c>
      <c r="C153" s="20">
        <v>1</v>
      </c>
      <c r="D153" s="18">
        <v>0</v>
      </c>
      <c r="E153" s="18">
        <v>77</v>
      </c>
      <c r="F153" s="18">
        <v>1</v>
      </c>
      <c r="G153" s="18">
        <v>5.3</v>
      </c>
      <c r="H153" s="19">
        <f>CONVERT(153,"ft","m")*100</f>
        <v>4663.4399999999996</v>
      </c>
      <c r="I153" s="18">
        <f t="shared" si="5"/>
        <v>46.634399999999999</v>
      </c>
      <c r="J153" s="18">
        <f>I153*I153</f>
        <v>2174.76726336</v>
      </c>
      <c r="K153" s="18">
        <v>55</v>
      </c>
      <c r="L153" s="19">
        <f t="shared" si="4"/>
        <v>2.5290062493871363E-2</v>
      </c>
      <c r="M153" s="19">
        <v>1</v>
      </c>
      <c r="N153" s="18">
        <v>0</v>
      </c>
      <c r="O153" s="22">
        <v>0</v>
      </c>
      <c r="P153" s="22">
        <v>0</v>
      </c>
      <c r="Q153" s="18">
        <v>9.6</v>
      </c>
    </row>
    <row r="154" spans="1:17" s="19" customFormat="1" x14ac:dyDescent="0.3">
      <c r="A154" s="19">
        <v>153</v>
      </c>
      <c r="B154" s="38">
        <v>0</v>
      </c>
      <c r="C154" s="20">
        <v>1</v>
      </c>
      <c r="D154" s="18">
        <v>0</v>
      </c>
      <c r="E154" s="18">
        <v>56</v>
      </c>
      <c r="F154" s="18">
        <v>8</v>
      </c>
      <c r="G154" s="18">
        <v>5.5</v>
      </c>
      <c r="H154" s="19">
        <f>CONVERT(154,"ft","m")*100</f>
        <v>4693.92</v>
      </c>
      <c r="I154" s="18">
        <f t="shared" si="5"/>
        <v>46.9392</v>
      </c>
      <c r="J154" s="18">
        <f>I154*I154</f>
        <v>2203.2884966400002</v>
      </c>
      <c r="K154" s="18">
        <v>60</v>
      </c>
      <c r="L154" s="19">
        <f t="shared" si="4"/>
        <v>2.7232021631075361E-2</v>
      </c>
      <c r="M154" s="19">
        <v>1</v>
      </c>
      <c r="N154" s="18">
        <v>0</v>
      </c>
      <c r="O154" s="22">
        <v>0</v>
      </c>
      <c r="P154" s="22">
        <v>0</v>
      </c>
      <c r="Q154" s="18">
        <v>9.6</v>
      </c>
    </row>
    <row r="155" spans="1:17" s="19" customFormat="1" x14ac:dyDescent="0.3">
      <c r="A155" s="19">
        <v>154</v>
      </c>
      <c r="B155" s="38">
        <v>0</v>
      </c>
      <c r="C155" s="20">
        <v>1</v>
      </c>
      <c r="D155" s="18">
        <v>0</v>
      </c>
      <c r="E155" s="18">
        <v>45</v>
      </c>
      <c r="F155" s="18">
        <v>8</v>
      </c>
      <c r="G155" s="18">
        <v>4.9000000000000004</v>
      </c>
      <c r="H155" s="19">
        <f>CONVERT(155,"ft","m")*100</f>
        <v>4724.3999999999996</v>
      </c>
      <c r="I155" s="18">
        <f t="shared" si="5"/>
        <v>47.244</v>
      </c>
      <c r="J155" s="18">
        <f>I155*I155</f>
        <v>2231.9955359999999</v>
      </c>
      <c r="K155" s="18">
        <v>70</v>
      </c>
      <c r="L155" s="19">
        <f t="shared" si="4"/>
        <v>3.1362069892598571E-2</v>
      </c>
      <c r="M155" s="19">
        <v>1</v>
      </c>
      <c r="N155" s="18">
        <v>0</v>
      </c>
      <c r="O155" s="22">
        <v>0</v>
      </c>
      <c r="P155" s="22">
        <v>0</v>
      </c>
      <c r="Q155" s="18">
        <v>9.6</v>
      </c>
    </row>
    <row r="156" spans="1:17" s="19" customFormat="1" x14ac:dyDescent="0.3">
      <c r="A156" s="19">
        <v>155</v>
      </c>
      <c r="B156" s="38">
        <v>0</v>
      </c>
      <c r="C156" s="20">
        <v>1</v>
      </c>
      <c r="D156" s="18">
        <v>0</v>
      </c>
      <c r="E156" s="18">
        <v>67</v>
      </c>
      <c r="F156" s="18">
        <v>1</v>
      </c>
      <c r="G156" s="18">
        <v>5.5</v>
      </c>
      <c r="H156" s="19">
        <f>CONVERT(156,"ft","m")*100</f>
        <v>4754.88</v>
      </c>
      <c r="I156" s="18">
        <f t="shared" si="5"/>
        <v>47.5488</v>
      </c>
      <c r="J156" s="18">
        <f>I156*I156</f>
        <v>2260.8883814400001</v>
      </c>
      <c r="K156" s="18">
        <v>80</v>
      </c>
      <c r="L156" s="19">
        <f t="shared" si="4"/>
        <v>3.5384320896481664E-2</v>
      </c>
      <c r="M156" s="19">
        <v>1</v>
      </c>
      <c r="N156" s="18">
        <v>0</v>
      </c>
      <c r="O156" s="22">
        <v>0</v>
      </c>
      <c r="P156" s="22">
        <v>0</v>
      </c>
      <c r="Q156" s="18">
        <v>9.6</v>
      </c>
    </row>
    <row r="157" spans="1:17" s="19" customFormat="1" x14ac:dyDescent="0.3">
      <c r="A157" s="19">
        <v>156</v>
      </c>
      <c r="B157" s="38">
        <v>0</v>
      </c>
      <c r="C157" s="20">
        <v>1</v>
      </c>
      <c r="D157" s="18">
        <v>0</v>
      </c>
      <c r="E157" s="18">
        <v>76</v>
      </c>
      <c r="F157" s="18">
        <v>1</v>
      </c>
      <c r="G157" s="18">
        <v>5</v>
      </c>
      <c r="H157" s="19">
        <f>CONVERT(157,"ft","m")*100</f>
        <v>4785.3599999999997</v>
      </c>
      <c r="I157" s="18">
        <f t="shared" si="5"/>
        <v>47.8536</v>
      </c>
      <c r="J157" s="18">
        <f>I157*I157</f>
        <v>2289.9670329599999</v>
      </c>
      <c r="K157" s="18">
        <v>90</v>
      </c>
      <c r="L157" s="19">
        <f t="shared" si="4"/>
        <v>3.9301875836905149E-2</v>
      </c>
      <c r="M157" s="19">
        <v>1</v>
      </c>
      <c r="N157" s="18">
        <v>0</v>
      </c>
      <c r="O157" s="22">
        <v>0</v>
      </c>
      <c r="P157" s="22">
        <v>0</v>
      </c>
      <c r="Q157" s="18">
        <v>9.6</v>
      </c>
    </row>
    <row r="158" spans="1:17" s="19" customFormat="1" x14ac:dyDescent="0.3">
      <c r="A158" s="19">
        <v>157</v>
      </c>
      <c r="B158" s="38">
        <v>0</v>
      </c>
      <c r="C158" s="20">
        <v>1</v>
      </c>
      <c r="D158" s="18">
        <v>0</v>
      </c>
      <c r="E158" s="18">
        <v>54</v>
      </c>
      <c r="F158" s="18">
        <v>1</v>
      </c>
      <c r="G158" s="18">
        <v>5.5</v>
      </c>
      <c r="H158" s="19">
        <f>CONVERT(158,"ft","m")*100</f>
        <v>4815.84</v>
      </c>
      <c r="I158" s="18">
        <f t="shared" si="5"/>
        <v>48.1584</v>
      </c>
      <c r="J158" s="18">
        <f>I158*I158</f>
        <v>2319.2314905600001</v>
      </c>
      <c r="K158" s="18">
        <v>69</v>
      </c>
      <c r="L158" s="19">
        <f t="shared" si="4"/>
        <v>2.975123452783892E-2</v>
      </c>
      <c r="M158" s="19">
        <v>1</v>
      </c>
      <c r="N158" s="18">
        <v>0</v>
      </c>
      <c r="O158" s="22">
        <v>0</v>
      </c>
      <c r="P158" s="22">
        <v>0</v>
      </c>
      <c r="Q158" s="18">
        <v>9.6</v>
      </c>
    </row>
    <row r="159" spans="1:17" s="19" customFormat="1" x14ac:dyDescent="0.3">
      <c r="A159" s="19">
        <v>158</v>
      </c>
      <c r="B159" s="38">
        <v>0</v>
      </c>
      <c r="C159" s="20">
        <v>1</v>
      </c>
      <c r="D159" s="18">
        <v>0</v>
      </c>
      <c r="E159" s="18">
        <v>55</v>
      </c>
      <c r="F159" s="18">
        <v>1</v>
      </c>
      <c r="G159" s="18">
        <v>5.5</v>
      </c>
      <c r="H159" s="19">
        <f>CONVERT(159,"ft","m")*100</f>
        <v>4846.32</v>
      </c>
      <c r="I159" s="18">
        <f t="shared" si="5"/>
        <v>48.463200000000001</v>
      </c>
      <c r="J159" s="18">
        <f>I159*I159</f>
        <v>2348.6817542399999</v>
      </c>
      <c r="K159" s="18">
        <v>70</v>
      </c>
      <c r="L159" s="19">
        <f t="shared" si="4"/>
        <v>2.9803952738011969E-2</v>
      </c>
      <c r="M159" s="19">
        <v>0</v>
      </c>
      <c r="N159" s="18">
        <v>0</v>
      </c>
      <c r="O159" s="22">
        <v>0</v>
      </c>
      <c r="P159" s="22">
        <v>0</v>
      </c>
      <c r="Q159" s="18">
        <v>9.6</v>
      </c>
    </row>
    <row r="160" spans="1:17" s="19" customFormat="1" x14ac:dyDescent="0.3">
      <c r="A160" s="19">
        <v>159</v>
      </c>
      <c r="B160" s="38">
        <v>0</v>
      </c>
      <c r="C160" s="20">
        <v>1</v>
      </c>
      <c r="D160" s="18">
        <v>0</v>
      </c>
      <c r="E160" s="18">
        <v>66</v>
      </c>
      <c r="F160" s="18">
        <v>1</v>
      </c>
      <c r="G160" s="18">
        <v>5.5</v>
      </c>
      <c r="H160" s="19">
        <f>CONVERT(160,"ft","m")*100</f>
        <v>4876.8</v>
      </c>
      <c r="I160" s="18">
        <f t="shared" si="5"/>
        <v>48.768000000000001</v>
      </c>
      <c r="J160" s="18">
        <f>I160*I160</f>
        <v>2378.3178240000002</v>
      </c>
      <c r="K160" s="18">
        <v>55</v>
      </c>
      <c r="L160" s="19">
        <f t="shared" si="4"/>
        <v>2.3125588785899792E-2</v>
      </c>
      <c r="M160" s="19">
        <v>0</v>
      </c>
      <c r="N160" s="18">
        <v>0</v>
      </c>
      <c r="O160" s="22">
        <v>0</v>
      </c>
      <c r="P160" s="22">
        <v>0</v>
      </c>
      <c r="Q160" s="18">
        <v>11</v>
      </c>
    </row>
    <row r="161" spans="1:17" s="19" customFormat="1" x14ac:dyDescent="0.3">
      <c r="A161" s="19">
        <v>160</v>
      </c>
      <c r="B161" s="38">
        <v>0</v>
      </c>
      <c r="C161" s="20">
        <v>0</v>
      </c>
      <c r="D161" s="18">
        <v>0</v>
      </c>
      <c r="E161" s="18">
        <v>85</v>
      </c>
      <c r="F161" s="18">
        <v>1</v>
      </c>
      <c r="G161" s="18">
        <v>5.5</v>
      </c>
      <c r="H161" s="19">
        <f>CONVERT(161,"ft","m")*100</f>
        <v>4907.28</v>
      </c>
      <c r="I161" s="18">
        <f t="shared" si="5"/>
        <v>49.072800000000001</v>
      </c>
      <c r="J161" s="18">
        <f>I161*I161</f>
        <v>2408.13969984</v>
      </c>
      <c r="K161" s="18">
        <v>77</v>
      </c>
      <c r="L161" s="19">
        <f t="shared" si="4"/>
        <v>3.1974889166569521E-2</v>
      </c>
      <c r="M161" s="19">
        <v>0</v>
      </c>
      <c r="N161" s="18">
        <v>0</v>
      </c>
      <c r="O161" s="22">
        <v>0</v>
      </c>
      <c r="P161" s="22">
        <v>0</v>
      </c>
      <c r="Q161" s="18">
        <v>11</v>
      </c>
    </row>
    <row r="162" spans="1:17" s="19" customFormat="1" x14ac:dyDescent="0.3">
      <c r="A162" s="19">
        <v>161</v>
      </c>
      <c r="B162" s="38">
        <v>0</v>
      </c>
      <c r="C162" s="20">
        <v>1</v>
      </c>
      <c r="D162" s="18">
        <v>0</v>
      </c>
      <c r="E162" s="18">
        <v>67</v>
      </c>
      <c r="F162" s="18">
        <v>1</v>
      </c>
      <c r="G162" s="18">
        <v>4.9000000000000004</v>
      </c>
      <c r="H162" s="19">
        <f>CONVERT(162,"ft","m")*100</f>
        <v>4937.76</v>
      </c>
      <c r="I162" s="18">
        <f t="shared" si="5"/>
        <v>49.377600000000001</v>
      </c>
      <c r="J162" s="18">
        <f>I162*I162</f>
        <v>2438.1473817599999</v>
      </c>
      <c r="K162" s="18">
        <v>58</v>
      </c>
      <c r="L162" s="19">
        <f t="shared" si="4"/>
        <v>2.3788553733011884E-2</v>
      </c>
      <c r="M162" s="19">
        <v>0</v>
      </c>
      <c r="N162" s="18">
        <v>0</v>
      </c>
      <c r="O162" s="22">
        <v>0</v>
      </c>
      <c r="P162" s="22">
        <v>0</v>
      </c>
      <c r="Q162" s="18">
        <v>11</v>
      </c>
    </row>
    <row r="163" spans="1:17" s="19" customFormat="1" x14ac:dyDescent="0.3">
      <c r="A163" s="19">
        <v>162</v>
      </c>
      <c r="B163" s="38">
        <v>0</v>
      </c>
      <c r="C163" s="20">
        <v>0</v>
      </c>
      <c r="D163" s="18">
        <v>0</v>
      </c>
      <c r="E163" s="18">
        <v>65</v>
      </c>
      <c r="F163" s="18">
        <v>1</v>
      </c>
      <c r="G163" s="18">
        <v>5</v>
      </c>
      <c r="H163" s="19">
        <f>CONVERT(163,"ft","m")*100</f>
        <v>4968.24</v>
      </c>
      <c r="I163" s="18">
        <f t="shared" si="5"/>
        <v>49.682400000000001</v>
      </c>
      <c r="J163" s="18">
        <f>I163*I163</f>
        <v>2468.3408697600003</v>
      </c>
      <c r="K163" s="18">
        <v>60</v>
      </c>
      <c r="L163" s="19">
        <f t="shared" si="4"/>
        <v>2.4307825849771661E-2</v>
      </c>
      <c r="M163" s="19">
        <v>0</v>
      </c>
      <c r="N163" s="18">
        <v>0</v>
      </c>
      <c r="O163" s="22">
        <v>0</v>
      </c>
      <c r="P163" s="22">
        <v>0</v>
      </c>
      <c r="Q163" s="18">
        <v>11</v>
      </c>
    </row>
    <row r="164" spans="1:17" s="19" customFormat="1" x14ac:dyDescent="0.3">
      <c r="A164" s="19">
        <v>163</v>
      </c>
      <c r="B164" s="38">
        <v>0</v>
      </c>
      <c r="C164" s="20">
        <v>1</v>
      </c>
      <c r="D164" s="18">
        <v>0</v>
      </c>
      <c r="E164" s="18">
        <v>55</v>
      </c>
      <c r="F164" s="18">
        <v>1</v>
      </c>
      <c r="G164" s="18">
        <v>5.5</v>
      </c>
      <c r="H164" s="19">
        <f>CONVERT(164,"ft","m")*100</f>
        <v>4998.72</v>
      </c>
      <c r="I164" s="18">
        <f t="shared" si="5"/>
        <v>49.987200000000001</v>
      </c>
      <c r="J164" s="18">
        <f>I164*I164</f>
        <v>2498.7201638400002</v>
      </c>
      <c r="K164" s="18">
        <v>60</v>
      </c>
      <c r="L164" s="19">
        <f t="shared" si="4"/>
        <v>2.4012292720203127E-2</v>
      </c>
      <c r="M164" s="19">
        <v>0</v>
      </c>
      <c r="N164" s="18">
        <v>0</v>
      </c>
      <c r="O164" s="22">
        <v>0</v>
      </c>
      <c r="P164" s="22">
        <v>0</v>
      </c>
      <c r="Q164" s="18">
        <v>11</v>
      </c>
    </row>
    <row r="165" spans="1:17" s="19" customFormat="1" x14ac:dyDescent="0.3">
      <c r="A165" s="19">
        <v>164</v>
      </c>
      <c r="B165" s="38">
        <v>0</v>
      </c>
      <c r="C165" s="20">
        <v>1</v>
      </c>
      <c r="D165" s="18">
        <v>0</v>
      </c>
      <c r="E165" s="18">
        <v>70</v>
      </c>
      <c r="F165" s="18">
        <v>1</v>
      </c>
      <c r="G165" s="18">
        <v>5</v>
      </c>
      <c r="H165" s="19">
        <f>CONVERT(165,"ft","m")*100</f>
        <v>5029.2</v>
      </c>
      <c r="I165" s="18">
        <f t="shared" si="5"/>
        <v>50.292000000000002</v>
      </c>
      <c r="J165" s="18">
        <f>I165*I165</f>
        <v>2529.2852640000001</v>
      </c>
      <c r="K165" s="18">
        <v>60</v>
      </c>
      <c r="L165" s="19">
        <f t="shared" si="4"/>
        <v>2.3722116620847871E-2</v>
      </c>
      <c r="M165" s="19">
        <v>0</v>
      </c>
      <c r="N165" s="18">
        <v>0</v>
      </c>
      <c r="O165" s="22">
        <v>0</v>
      </c>
      <c r="P165" s="22">
        <v>0</v>
      </c>
      <c r="Q165" s="18">
        <v>11</v>
      </c>
    </row>
    <row r="166" spans="1:17" s="19" customFormat="1" x14ac:dyDescent="0.3">
      <c r="A166" s="19">
        <v>165</v>
      </c>
      <c r="B166" s="38">
        <v>0</v>
      </c>
      <c r="C166" s="20">
        <v>1</v>
      </c>
      <c r="D166" s="18">
        <v>0</v>
      </c>
      <c r="E166" s="18">
        <v>77</v>
      </c>
      <c r="F166" s="18">
        <v>1</v>
      </c>
      <c r="G166" s="18">
        <v>4.9000000000000004</v>
      </c>
      <c r="H166" s="19">
        <f>CONVERT(166,"ft","m")*100</f>
        <v>5059.68</v>
      </c>
      <c r="I166" s="18">
        <f t="shared" si="5"/>
        <v>50.596800000000002</v>
      </c>
      <c r="J166" s="18">
        <f>I166*I166</f>
        <v>2560.03617024</v>
      </c>
      <c r="K166" s="18">
        <v>55</v>
      </c>
      <c r="L166" s="19">
        <f t="shared" si="4"/>
        <v>2.1484071451554461E-2</v>
      </c>
      <c r="M166" s="19">
        <v>0</v>
      </c>
      <c r="N166" s="18">
        <v>0</v>
      </c>
      <c r="O166" s="22">
        <v>0</v>
      </c>
      <c r="P166" s="22">
        <v>0</v>
      </c>
      <c r="Q166" s="18">
        <v>11</v>
      </c>
    </row>
    <row r="167" spans="1:17" s="19" customFormat="1" x14ac:dyDescent="0.3">
      <c r="A167" s="19">
        <v>166</v>
      </c>
      <c r="B167" s="38">
        <v>0</v>
      </c>
      <c r="C167" s="20">
        <v>1</v>
      </c>
      <c r="D167" s="18">
        <v>0</v>
      </c>
      <c r="E167" s="18">
        <v>56</v>
      </c>
      <c r="F167" s="18">
        <v>1</v>
      </c>
      <c r="G167" s="18">
        <v>5.5</v>
      </c>
      <c r="H167" s="19">
        <f>CONVERT(167,"ft","m")*100</f>
        <v>5090.16</v>
      </c>
      <c r="I167" s="18">
        <f t="shared" si="5"/>
        <v>50.901600000000002</v>
      </c>
      <c r="J167" s="18">
        <f>I167*I167</f>
        <v>2590.97288256</v>
      </c>
      <c r="K167" s="18">
        <v>69</v>
      </c>
      <c r="L167" s="19">
        <f t="shared" si="4"/>
        <v>2.6630923258380394E-2</v>
      </c>
      <c r="M167" s="19">
        <v>0</v>
      </c>
      <c r="N167" s="18">
        <v>0</v>
      </c>
      <c r="O167" s="22">
        <v>0</v>
      </c>
      <c r="P167" s="22">
        <v>0</v>
      </c>
      <c r="Q167" s="18">
        <v>11</v>
      </c>
    </row>
    <row r="168" spans="1:17" s="19" customFormat="1" x14ac:dyDescent="0.3">
      <c r="A168" s="19">
        <v>167</v>
      </c>
      <c r="B168" s="38">
        <v>0</v>
      </c>
      <c r="C168" s="20">
        <v>1</v>
      </c>
      <c r="D168" s="18">
        <v>0</v>
      </c>
      <c r="E168" s="18">
        <v>45</v>
      </c>
      <c r="F168" s="18">
        <v>1</v>
      </c>
      <c r="G168" s="18">
        <v>5.5</v>
      </c>
      <c r="H168" s="19">
        <f>CONVERT(168,"ft","m")*100</f>
        <v>5120.6400000000003</v>
      </c>
      <c r="I168" s="18">
        <f t="shared" si="5"/>
        <v>51.206400000000002</v>
      </c>
      <c r="J168" s="18">
        <f>I168*I168</f>
        <v>2622.09540096</v>
      </c>
      <c r="K168" s="18">
        <v>78</v>
      </c>
      <c r="L168" s="19">
        <f t="shared" si="4"/>
        <v>2.9747201406723298E-2</v>
      </c>
      <c r="M168" s="19">
        <v>0</v>
      </c>
      <c r="N168" s="18">
        <v>0</v>
      </c>
      <c r="O168" s="22">
        <v>0</v>
      </c>
      <c r="P168" s="22">
        <v>0</v>
      </c>
      <c r="Q168" s="18">
        <v>11</v>
      </c>
    </row>
    <row r="169" spans="1:17" s="19" customFormat="1" x14ac:dyDescent="0.3">
      <c r="A169" s="19">
        <v>168</v>
      </c>
      <c r="B169" s="38">
        <v>0</v>
      </c>
      <c r="C169" s="20">
        <v>1</v>
      </c>
      <c r="D169" s="18">
        <v>0</v>
      </c>
      <c r="E169" s="18">
        <v>67</v>
      </c>
      <c r="F169" s="18">
        <v>1</v>
      </c>
      <c r="G169" s="18">
        <v>5.4</v>
      </c>
      <c r="H169" s="19">
        <f>CONVERT(169,"ft","m")*100</f>
        <v>5151.12</v>
      </c>
      <c r="I169" s="18">
        <f t="shared" si="5"/>
        <v>51.511200000000002</v>
      </c>
      <c r="J169" s="18">
        <f>I169*I169</f>
        <v>2653.40372544</v>
      </c>
      <c r="K169" s="18">
        <v>65</v>
      </c>
      <c r="L169" s="19">
        <f t="shared" si="4"/>
        <v>2.4496837543718075E-2</v>
      </c>
      <c r="M169" s="19">
        <v>0</v>
      </c>
      <c r="N169" s="18">
        <v>0</v>
      </c>
      <c r="O169" s="22">
        <v>0</v>
      </c>
      <c r="P169" s="22">
        <v>0</v>
      </c>
      <c r="Q169" s="18">
        <v>11</v>
      </c>
    </row>
    <row r="170" spans="1:17" s="19" customFormat="1" x14ac:dyDescent="0.3">
      <c r="A170" s="19">
        <v>169</v>
      </c>
      <c r="B170" s="38">
        <v>0</v>
      </c>
      <c r="C170" s="20">
        <v>1</v>
      </c>
      <c r="D170" s="18">
        <v>0</v>
      </c>
      <c r="E170" s="18">
        <v>85</v>
      </c>
      <c r="F170" s="18">
        <v>1</v>
      </c>
      <c r="G170" s="18">
        <v>5.3</v>
      </c>
      <c r="H170" s="19">
        <f>CONVERT(170,"ft","m")*100</f>
        <v>5181.6000000000004</v>
      </c>
      <c r="I170" s="18">
        <f t="shared" si="5"/>
        <v>51.816000000000003</v>
      </c>
      <c r="J170" s="18">
        <f>I170*I170</f>
        <v>2684.897856</v>
      </c>
      <c r="K170" s="18">
        <v>68</v>
      </c>
      <c r="L170" s="19">
        <f t="shared" si="4"/>
        <v>2.5326848039316993E-2</v>
      </c>
      <c r="M170" s="19">
        <v>0</v>
      </c>
      <c r="N170" s="18">
        <v>0</v>
      </c>
      <c r="O170" s="22">
        <v>0</v>
      </c>
      <c r="P170" s="22">
        <v>0</v>
      </c>
      <c r="Q170" s="18">
        <v>11</v>
      </c>
    </row>
    <row r="171" spans="1:17" s="19" customFormat="1" x14ac:dyDescent="0.3">
      <c r="A171" s="19">
        <v>170</v>
      </c>
      <c r="B171" s="38">
        <v>0</v>
      </c>
      <c r="C171" s="20">
        <v>0</v>
      </c>
      <c r="D171" s="18">
        <v>0</v>
      </c>
      <c r="E171" s="18">
        <v>67</v>
      </c>
      <c r="F171" s="18">
        <v>1</v>
      </c>
      <c r="G171" s="18">
        <v>5.5</v>
      </c>
      <c r="H171" s="19">
        <f>CONVERT(171,"ft","m")*100</f>
        <v>5212.08</v>
      </c>
      <c r="I171" s="18">
        <f t="shared" si="5"/>
        <v>52.120800000000003</v>
      </c>
      <c r="J171" s="18">
        <f>I171*I171</f>
        <v>2716.5777926400001</v>
      </c>
      <c r="K171" s="18">
        <v>75</v>
      </c>
      <c r="L171" s="19">
        <f t="shared" si="4"/>
        <v>2.7608265150071105E-2</v>
      </c>
      <c r="M171" s="19">
        <v>0</v>
      </c>
      <c r="N171" s="18">
        <v>0</v>
      </c>
      <c r="O171" s="22">
        <v>0</v>
      </c>
      <c r="P171" s="22">
        <v>0</v>
      </c>
      <c r="Q171" s="18">
        <v>11</v>
      </c>
    </row>
    <row r="172" spans="1:17" s="19" customFormat="1" x14ac:dyDescent="0.3">
      <c r="A172" s="19">
        <v>171</v>
      </c>
      <c r="B172" s="38">
        <v>0</v>
      </c>
      <c r="C172" s="20">
        <v>1</v>
      </c>
      <c r="D172" s="18">
        <v>0</v>
      </c>
      <c r="E172" s="18">
        <v>65</v>
      </c>
      <c r="F172" s="18">
        <v>1</v>
      </c>
      <c r="G172" s="18">
        <v>4.4000000000000004</v>
      </c>
      <c r="H172" s="19">
        <f>CONVERT(172,"ft","m")*100</f>
        <v>5242.5600000000004</v>
      </c>
      <c r="I172" s="18">
        <f t="shared" si="5"/>
        <v>52.425600000000003</v>
      </c>
      <c r="J172" s="18">
        <f>I172*I172</f>
        <v>2748.4435353600002</v>
      </c>
      <c r="K172" s="18">
        <v>60</v>
      </c>
      <c r="L172" s="19">
        <f t="shared" si="4"/>
        <v>2.1830537621774719E-2</v>
      </c>
      <c r="M172" s="19">
        <v>0</v>
      </c>
      <c r="N172" s="18">
        <v>0</v>
      </c>
      <c r="O172" s="22">
        <v>0</v>
      </c>
      <c r="P172" s="22">
        <v>0</v>
      </c>
      <c r="Q172" s="18">
        <v>11</v>
      </c>
    </row>
    <row r="173" spans="1:17" s="19" customFormat="1" x14ac:dyDescent="0.3">
      <c r="A173" s="19">
        <v>172</v>
      </c>
      <c r="B173" s="38">
        <v>0</v>
      </c>
      <c r="C173" s="20">
        <v>1</v>
      </c>
      <c r="D173" s="18">
        <v>0</v>
      </c>
      <c r="E173" s="18">
        <v>65</v>
      </c>
      <c r="F173" s="18">
        <v>1</v>
      </c>
      <c r="G173" s="18">
        <v>4.9000000000000004</v>
      </c>
      <c r="H173" s="19">
        <f>CONVERT(173,"ft","m")*100</f>
        <v>5273.04</v>
      </c>
      <c r="I173" s="18">
        <f t="shared" si="5"/>
        <v>52.730400000000003</v>
      </c>
      <c r="J173" s="18">
        <f>I173*I173</f>
        <v>2780.4950841600003</v>
      </c>
      <c r="K173" s="18">
        <v>70</v>
      </c>
      <c r="L173" s="19">
        <f t="shared" si="4"/>
        <v>2.5175372687683533E-2</v>
      </c>
      <c r="M173" s="19">
        <v>0</v>
      </c>
      <c r="N173" s="18">
        <v>0</v>
      </c>
      <c r="O173" s="22">
        <v>0</v>
      </c>
      <c r="P173" s="22">
        <v>0</v>
      </c>
      <c r="Q173" s="18">
        <v>11</v>
      </c>
    </row>
    <row r="174" spans="1:17" s="19" customFormat="1" x14ac:dyDescent="0.3">
      <c r="A174" s="19">
        <v>173</v>
      </c>
      <c r="B174" s="38">
        <v>0</v>
      </c>
      <c r="C174" s="20">
        <v>1</v>
      </c>
      <c r="D174" s="18">
        <v>0</v>
      </c>
      <c r="E174" s="18">
        <v>65</v>
      </c>
      <c r="F174" s="18">
        <v>1</v>
      </c>
      <c r="G174" s="18">
        <v>5</v>
      </c>
      <c r="H174" s="19">
        <f>CONVERT(174,"ft","m")*100</f>
        <v>5303.52</v>
      </c>
      <c r="I174" s="18">
        <f t="shared" si="5"/>
        <v>53.035200000000003</v>
      </c>
      <c r="J174" s="18">
        <f>I174*I174</f>
        <v>2812.7324390400004</v>
      </c>
      <c r="K174" s="18">
        <v>80</v>
      </c>
      <c r="L174" s="19">
        <f t="shared" si="4"/>
        <v>2.8442093847825922E-2</v>
      </c>
      <c r="M174" s="19">
        <v>0</v>
      </c>
      <c r="N174" s="18">
        <v>0</v>
      </c>
      <c r="O174" s="22">
        <v>0</v>
      </c>
      <c r="P174" s="22">
        <v>0</v>
      </c>
      <c r="Q174" s="18">
        <v>11</v>
      </c>
    </row>
    <row r="175" spans="1:17" s="19" customFormat="1" x14ac:dyDescent="0.3">
      <c r="A175" s="19">
        <v>174</v>
      </c>
      <c r="B175" s="38">
        <v>0</v>
      </c>
      <c r="C175" s="20">
        <v>1</v>
      </c>
      <c r="D175" s="18">
        <v>0</v>
      </c>
      <c r="E175" s="18">
        <v>44</v>
      </c>
      <c r="F175" s="18">
        <v>1</v>
      </c>
      <c r="G175" s="18">
        <v>5.5</v>
      </c>
      <c r="H175" s="19">
        <f>CONVERT(175,"ft","m")*100</f>
        <v>5334</v>
      </c>
      <c r="I175" s="18">
        <f t="shared" si="5"/>
        <v>53.34</v>
      </c>
      <c r="J175" s="18">
        <f>I175*I175</f>
        <v>2845.1556000000005</v>
      </c>
      <c r="K175" s="18">
        <v>90</v>
      </c>
      <c r="L175" s="19">
        <f t="shared" si="4"/>
        <v>3.1632716326657137E-2</v>
      </c>
      <c r="M175" s="19">
        <v>0</v>
      </c>
      <c r="N175" s="18">
        <v>0</v>
      </c>
      <c r="O175" s="22">
        <v>0</v>
      </c>
      <c r="P175" s="22">
        <v>0</v>
      </c>
      <c r="Q175" s="18">
        <v>11</v>
      </c>
    </row>
    <row r="176" spans="1:17" s="19" customFormat="1" x14ac:dyDescent="0.3">
      <c r="A176" s="19">
        <v>175</v>
      </c>
      <c r="B176" s="38">
        <v>0</v>
      </c>
      <c r="C176" s="20">
        <v>0</v>
      </c>
      <c r="D176" s="18">
        <v>0</v>
      </c>
      <c r="E176" s="18">
        <v>50</v>
      </c>
      <c r="F176" s="18">
        <v>1</v>
      </c>
      <c r="G176" s="18">
        <v>5.5</v>
      </c>
      <c r="H176" s="19">
        <f>CONVERT(176,"ft","m")*100</f>
        <v>5364.48</v>
      </c>
      <c r="I176" s="18">
        <f t="shared" si="5"/>
        <v>53.644799999999996</v>
      </c>
      <c r="J176" s="18">
        <f>I176*I176</f>
        <v>2877.7645670399997</v>
      </c>
      <c r="K176" s="18">
        <v>65</v>
      </c>
      <c r="L176" s="19">
        <f t="shared" si="4"/>
        <v>2.2586976274733085E-2</v>
      </c>
      <c r="M176" s="19">
        <v>0</v>
      </c>
      <c r="N176" s="18">
        <v>0</v>
      </c>
      <c r="O176" s="22">
        <v>0</v>
      </c>
      <c r="P176" s="22">
        <v>0</v>
      </c>
      <c r="Q176" s="18">
        <v>11</v>
      </c>
    </row>
    <row r="177" spans="1:17" s="19" customFormat="1" x14ac:dyDescent="0.3">
      <c r="A177" s="19">
        <v>176</v>
      </c>
      <c r="B177" s="38">
        <v>0</v>
      </c>
      <c r="C177" s="20">
        <v>0</v>
      </c>
      <c r="D177" s="18">
        <v>0</v>
      </c>
      <c r="E177" s="18">
        <v>30</v>
      </c>
      <c r="F177" s="18">
        <v>1</v>
      </c>
      <c r="G177" s="18">
        <v>5</v>
      </c>
      <c r="H177" s="19">
        <f>CONVERT(177,"ft","m")*100</f>
        <v>5394.96</v>
      </c>
      <c r="I177" s="18">
        <f t="shared" si="5"/>
        <v>53.949600000000004</v>
      </c>
      <c r="J177" s="18">
        <f>I177*I177</f>
        <v>2910.5593401600004</v>
      </c>
      <c r="K177" s="18">
        <v>65</v>
      </c>
      <c r="L177" s="19">
        <f t="shared" si="4"/>
        <v>2.2332477164484402E-2</v>
      </c>
      <c r="M177" s="19">
        <v>0</v>
      </c>
      <c r="N177" s="18">
        <v>0</v>
      </c>
      <c r="O177" s="22">
        <v>0</v>
      </c>
      <c r="P177" s="22">
        <v>0</v>
      </c>
      <c r="Q177" s="18">
        <v>11</v>
      </c>
    </row>
    <row r="178" spans="1:17" s="19" customFormat="1" x14ac:dyDescent="0.3">
      <c r="A178" s="19">
        <v>177</v>
      </c>
      <c r="B178" s="38">
        <v>0</v>
      </c>
      <c r="C178" s="20">
        <v>0</v>
      </c>
      <c r="D178" s="18">
        <v>0</v>
      </c>
      <c r="E178" s="18">
        <v>25</v>
      </c>
      <c r="F178" s="18">
        <v>1</v>
      </c>
      <c r="G178" s="18">
        <v>5.5</v>
      </c>
      <c r="H178" s="19">
        <f>CONVERT(178,"ft","m")*100</f>
        <v>5425.44</v>
      </c>
      <c r="I178" s="18">
        <f t="shared" si="5"/>
        <v>54.254399999999997</v>
      </c>
      <c r="J178" s="18">
        <f>I178*I178</f>
        <v>2943.5399193599997</v>
      </c>
      <c r="K178" s="18">
        <v>68</v>
      </c>
      <c r="L178" s="19">
        <f t="shared" si="4"/>
        <v>2.3101436319159865E-2</v>
      </c>
      <c r="M178" s="19">
        <v>0</v>
      </c>
      <c r="N178" s="18">
        <v>0</v>
      </c>
      <c r="O178" s="22">
        <v>0</v>
      </c>
      <c r="P178" s="22">
        <v>0</v>
      </c>
      <c r="Q178" s="18">
        <v>11</v>
      </c>
    </row>
    <row r="179" spans="1:17" s="19" customFormat="1" x14ac:dyDescent="0.3">
      <c r="A179" s="19">
        <v>178</v>
      </c>
      <c r="B179" s="38">
        <v>0</v>
      </c>
      <c r="C179" s="20">
        <v>1</v>
      </c>
      <c r="D179" s="18">
        <v>0</v>
      </c>
      <c r="E179" s="18">
        <v>40</v>
      </c>
      <c r="F179" s="18">
        <v>1</v>
      </c>
      <c r="G179" s="18">
        <v>4.9000000000000004</v>
      </c>
      <c r="H179" s="19">
        <f>CONVERT(179,"ft","m")*100</f>
        <v>5455.92</v>
      </c>
      <c r="I179" s="18">
        <f t="shared" si="5"/>
        <v>54.559200000000004</v>
      </c>
      <c r="J179" s="18">
        <f>I179*I179</f>
        <v>2976.7063046400003</v>
      </c>
      <c r="K179" s="18">
        <v>70</v>
      </c>
      <c r="L179" s="19">
        <f t="shared" si="4"/>
        <v>2.351592425859619E-2</v>
      </c>
      <c r="M179" s="19">
        <v>0</v>
      </c>
      <c r="N179" s="18">
        <v>0</v>
      </c>
      <c r="O179" s="22">
        <v>0</v>
      </c>
      <c r="P179" s="22">
        <v>0</v>
      </c>
      <c r="Q179" s="18">
        <v>11</v>
      </c>
    </row>
    <row r="180" spans="1:17" s="19" customFormat="1" x14ac:dyDescent="0.3">
      <c r="A180" s="19">
        <v>179</v>
      </c>
      <c r="B180" s="38">
        <v>0</v>
      </c>
      <c r="C180" s="20">
        <v>1</v>
      </c>
      <c r="D180" s="18">
        <v>0</v>
      </c>
      <c r="E180" s="18">
        <v>53</v>
      </c>
      <c r="F180" s="18">
        <v>1</v>
      </c>
      <c r="G180" s="18">
        <v>5</v>
      </c>
      <c r="H180" s="19">
        <f>CONVERT(180,"ft","m")*100</f>
        <v>5486.4</v>
      </c>
      <c r="I180" s="18">
        <f t="shared" si="5"/>
        <v>54.863999999999997</v>
      </c>
      <c r="J180" s="18">
        <f>I180*I180</f>
        <v>3010.0584959999996</v>
      </c>
      <c r="K180" s="18">
        <v>55</v>
      </c>
      <c r="L180" s="19">
        <f t="shared" si="4"/>
        <v>1.8272070151822063E-2</v>
      </c>
      <c r="M180" s="19">
        <v>1</v>
      </c>
      <c r="N180" s="18">
        <v>0</v>
      </c>
      <c r="O180" s="22">
        <v>0</v>
      </c>
      <c r="P180" s="22">
        <v>0</v>
      </c>
      <c r="Q180" s="18">
        <v>11</v>
      </c>
    </row>
    <row r="181" spans="1:17" s="19" customFormat="1" x14ac:dyDescent="0.3">
      <c r="A181" s="19">
        <v>180</v>
      </c>
      <c r="B181" s="38">
        <v>0</v>
      </c>
      <c r="C181" s="20">
        <v>1</v>
      </c>
      <c r="D181" s="18">
        <v>0</v>
      </c>
      <c r="E181" s="18">
        <v>55</v>
      </c>
      <c r="F181" s="18">
        <v>1</v>
      </c>
      <c r="G181" s="18">
        <v>5.5</v>
      </c>
      <c r="H181" s="19">
        <f>CONVERT(181,"ft","m")*100</f>
        <v>5516.88</v>
      </c>
      <c r="I181" s="18">
        <f t="shared" si="5"/>
        <v>55.168800000000005</v>
      </c>
      <c r="J181" s="18">
        <f>I181*I181</f>
        <v>3043.5964934400004</v>
      </c>
      <c r="K181" s="18">
        <v>55</v>
      </c>
      <c r="L181" s="19">
        <f t="shared" si="4"/>
        <v>1.8070726562651771E-2</v>
      </c>
      <c r="M181" s="19">
        <v>1</v>
      </c>
      <c r="N181" s="18">
        <v>0</v>
      </c>
      <c r="O181" s="22">
        <v>0</v>
      </c>
      <c r="P181" s="22">
        <v>0</v>
      </c>
      <c r="Q181" s="18">
        <v>11</v>
      </c>
    </row>
    <row r="182" spans="1:17" s="19" customFormat="1" x14ac:dyDescent="0.3">
      <c r="A182" s="19">
        <v>181</v>
      </c>
      <c r="B182" s="38">
        <v>0</v>
      </c>
      <c r="C182" s="20">
        <v>1</v>
      </c>
      <c r="D182" s="18">
        <v>0</v>
      </c>
      <c r="E182" s="18">
        <v>47</v>
      </c>
      <c r="F182" s="18">
        <v>1</v>
      </c>
      <c r="G182" s="18">
        <v>5.5</v>
      </c>
      <c r="H182" s="19">
        <f>CONVERT(182,"ft","m")*100</f>
        <v>5547.36</v>
      </c>
      <c r="I182" s="18">
        <f t="shared" si="5"/>
        <v>55.473599999999998</v>
      </c>
      <c r="J182" s="18">
        <f>I182*I182</f>
        <v>3077.3202969599997</v>
      </c>
      <c r="K182" s="18">
        <v>67</v>
      </c>
      <c r="L182" s="19">
        <f t="shared" si="4"/>
        <v>2.1772189286304536E-2</v>
      </c>
      <c r="M182" s="19">
        <v>1</v>
      </c>
      <c r="N182" s="18">
        <v>0</v>
      </c>
      <c r="O182" s="22">
        <v>0</v>
      </c>
      <c r="P182" s="22">
        <v>0</v>
      </c>
      <c r="Q182" s="18">
        <v>11</v>
      </c>
    </row>
    <row r="183" spans="1:17" s="19" customFormat="1" x14ac:dyDescent="0.3">
      <c r="A183" s="19">
        <v>182</v>
      </c>
      <c r="B183" s="38">
        <v>0</v>
      </c>
      <c r="C183" s="20">
        <v>1</v>
      </c>
      <c r="D183" s="18">
        <v>0</v>
      </c>
      <c r="E183" s="18">
        <v>58</v>
      </c>
      <c r="F183" s="18">
        <v>1</v>
      </c>
      <c r="G183" s="18">
        <v>5.3</v>
      </c>
      <c r="H183" s="19">
        <f>CONVERT(183,"ft","m")*100</f>
        <v>5577.84</v>
      </c>
      <c r="I183" s="18">
        <f t="shared" si="5"/>
        <v>55.778400000000005</v>
      </c>
      <c r="J183" s="18">
        <f>I183*I183</f>
        <v>3111.2299065600005</v>
      </c>
      <c r="K183" s="18">
        <v>68</v>
      </c>
      <c r="L183" s="19">
        <f t="shared" si="4"/>
        <v>2.1856308290371794E-2</v>
      </c>
      <c r="M183" s="19">
        <v>0</v>
      </c>
      <c r="N183" s="18">
        <v>0</v>
      </c>
      <c r="O183" s="22">
        <v>0</v>
      </c>
      <c r="P183" s="22">
        <v>0</v>
      </c>
      <c r="Q183" s="18">
        <v>11</v>
      </c>
    </row>
    <row r="184" spans="1:17" s="19" customFormat="1" x14ac:dyDescent="0.3">
      <c r="A184" s="19">
        <v>183</v>
      </c>
      <c r="B184" s="38">
        <v>0</v>
      </c>
      <c r="C184" s="20">
        <v>1</v>
      </c>
      <c r="D184" s="18">
        <v>0</v>
      </c>
      <c r="E184" s="18">
        <v>55</v>
      </c>
      <c r="F184" s="18">
        <v>1</v>
      </c>
      <c r="G184" s="18">
        <v>4.9000000000000004</v>
      </c>
      <c r="H184" s="19">
        <f>CONVERT(184,"ft","m")*100</f>
        <v>5608.32</v>
      </c>
      <c r="I184" s="18">
        <f t="shared" si="5"/>
        <v>56.083199999999998</v>
      </c>
      <c r="J184" s="18">
        <f>I184*I184</f>
        <v>3145.3253222399999</v>
      </c>
      <c r="K184" s="18">
        <v>69</v>
      </c>
      <c r="L184" s="19">
        <f t="shared" si="4"/>
        <v>2.1937317425359489E-2</v>
      </c>
      <c r="M184" s="19">
        <v>0</v>
      </c>
      <c r="N184" s="18">
        <v>0</v>
      </c>
      <c r="O184" s="22">
        <v>0</v>
      </c>
      <c r="P184" s="22">
        <v>0</v>
      </c>
      <c r="Q184" s="18">
        <v>11</v>
      </c>
    </row>
    <row r="185" spans="1:17" s="19" customFormat="1" x14ac:dyDescent="0.3">
      <c r="A185" s="19">
        <v>184</v>
      </c>
      <c r="B185" s="38">
        <v>0</v>
      </c>
      <c r="C185" s="20">
        <v>0</v>
      </c>
      <c r="D185" s="18">
        <v>0</v>
      </c>
      <c r="E185" s="20">
        <v>34</v>
      </c>
      <c r="F185" s="18">
        <v>1</v>
      </c>
      <c r="G185" s="18">
        <v>5.5</v>
      </c>
      <c r="H185" s="19">
        <f>CONVERT(185,"ft","m")*100</f>
        <v>5638.8</v>
      </c>
      <c r="I185" s="18">
        <f t="shared" si="5"/>
        <v>56.388000000000005</v>
      </c>
      <c r="J185" s="18">
        <f>I185*I185</f>
        <v>3179.6065440000007</v>
      </c>
      <c r="K185" s="18">
        <v>80</v>
      </c>
      <c r="L185" s="19">
        <f t="shared" si="4"/>
        <v>2.5160345751257199E-2</v>
      </c>
      <c r="M185" s="19">
        <v>0</v>
      </c>
      <c r="N185" s="18">
        <v>0</v>
      </c>
      <c r="O185" s="22">
        <v>0</v>
      </c>
      <c r="P185" s="22">
        <v>0</v>
      </c>
      <c r="Q185" s="18">
        <v>11</v>
      </c>
    </row>
    <row r="186" spans="1:17" s="19" customFormat="1" x14ac:dyDescent="0.3">
      <c r="A186" s="19">
        <v>185</v>
      </c>
      <c r="B186" s="38">
        <v>0</v>
      </c>
      <c r="C186" s="20">
        <v>1</v>
      </c>
      <c r="D186" s="18">
        <v>0</v>
      </c>
      <c r="E186" s="20">
        <v>56</v>
      </c>
      <c r="F186" s="18">
        <v>1</v>
      </c>
      <c r="G186" s="18">
        <v>5.3</v>
      </c>
      <c r="H186" s="19">
        <f>CONVERT(186,"ft","m")*100</f>
        <v>5669.28</v>
      </c>
      <c r="I186" s="18">
        <f t="shared" si="5"/>
        <v>56.692799999999998</v>
      </c>
      <c r="J186" s="18">
        <f>I186*I186</f>
        <v>3214.0735718399997</v>
      </c>
      <c r="K186" s="18">
        <v>90</v>
      </c>
      <c r="L186" s="19">
        <f t="shared" si="4"/>
        <v>2.8001848118391581E-2</v>
      </c>
      <c r="M186" s="19">
        <v>0</v>
      </c>
      <c r="N186" s="18">
        <v>0</v>
      </c>
      <c r="O186" s="22">
        <v>0</v>
      </c>
      <c r="P186" s="22">
        <v>0</v>
      </c>
      <c r="Q186" s="18">
        <v>11</v>
      </c>
    </row>
    <row r="187" spans="1:17" s="19" customFormat="1" x14ac:dyDescent="0.3">
      <c r="A187" s="19">
        <v>186</v>
      </c>
      <c r="B187" s="38">
        <v>0</v>
      </c>
      <c r="C187" s="20">
        <v>1</v>
      </c>
      <c r="D187" s="18">
        <v>0</v>
      </c>
      <c r="E187" s="20">
        <v>57</v>
      </c>
      <c r="F187" s="18">
        <v>1</v>
      </c>
      <c r="G187" s="18">
        <v>5.4</v>
      </c>
      <c r="H187" s="19">
        <f>CONVERT(187,"ft","m")*100</f>
        <v>5699.76</v>
      </c>
      <c r="I187" s="18">
        <f t="shared" si="5"/>
        <v>56.997600000000006</v>
      </c>
      <c r="J187" s="18">
        <f>I187*I187</f>
        <v>3248.7264057600005</v>
      </c>
      <c r="K187" s="18">
        <v>80</v>
      </c>
      <c r="L187" s="19">
        <f t="shared" si="4"/>
        <v>2.4625034554513359E-2</v>
      </c>
      <c r="M187" s="19">
        <v>0</v>
      </c>
      <c r="N187" s="18">
        <v>0</v>
      </c>
      <c r="O187" s="22">
        <v>0</v>
      </c>
      <c r="P187" s="22">
        <v>0</v>
      </c>
      <c r="Q187" s="18">
        <v>9</v>
      </c>
    </row>
    <row r="188" spans="1:17" s="15" customFormat="1" x14ac:dyDescent="0.3">
      <c r="A188" s="15">
        <v>186</v>
      </c>
      <c r="B188" s="39">
        <v>0</v>
      </c>
      <c r="C188" s="14">
        <v>0</v>
      </c>
      <c r="D188" s="18">
        <v>0</v>
      </c>
      <c r="E188" s="13">
        <v>26</v>
      </c>
      <c r="F188" s="13">
        <v>9</v>
      </c>
      <c r="G188" s="13">
        <v>5.9</v>
      </c>
      <c r="H188" s="15">
        <f>CONVERT(188,"ft","m")*100</f>
        <v>5730.24</v>
      </c>
      <c r="I188" s="13">
        <f t="shared" si="5"/>
        <v>57.302399999999999</v>
      </c>
      <c r="J188" s="13">
        <f>I188*I188</f>
        <v>3283.56504576</v>
      </c>
      <c r="K188" s="13">
        <v>62</v>
      </c>
      <c r="L188" s="15">
        <f t="shared" si="4"/>
        <v>1.8881916190470881E-2</v>
      </c>
      <c r="M188" s="16">
        <v>0</v>
      </c>
      <c r="N188" s="16">
        <v>0</v>
      </c>
      <c r="O188" s="22">
        <v>0</v>
      </c>
      <c r="P188" s="22">
        <v>0</v>
      </c>
      <c r="Q188" s="18">
        <v>9</v>
      </c>
    </row>
    <row r="189" spans="1:17" s="15" customFormat="1" x14ac:dyDescent="0.3">
      <c r="A189" s="15">
        <v>187</v>
      </c>
      <c r="B189" s="39">
        <v>0</v>
      </c>
      <c r="C189" s="14">
        <v>2</v>
      </c>
      <c r="D189" s="18">
        <v>0</v>
      </c>
      <c r="E189" s="13">
        <v>26</v>
      </c>
      <c r="F189" s="13">
        <v>1</v>
      </c>
      <c r="G189" s="13">
        <v>5.7</v>
      </c>
      <c r="H189" s="15">
        <f>CONVERT(189,"ft","m")*100</f>
        <v>5760.72</v>
      </c>
      <c r="I189" s="13">
        <f t="shared" si="5"/>
        <v>57.607200000000006</v>
      </c>
      <c r="J189" s="13">
        <f>I189*I189</f>
        <v>3318.5894918400008</v>
      </c>
      <c r="K189" s="13">
        <v>60</v>
      </c>
      <c r="L189" s="15">
        <f t="shared" si="4"/>
        <v>1.8079970465624793E-2</v>
      </c>
      <c r="M189" s="16">
        <v>0</v>
      </c>
      <c r="N189" s="16">
        <v>0</v>
      </c>
      <c r="O189" s="22">
        <v>0</v>
      </c>
      <c r="P189" s="22">
        <v>0</v>
      </c>
      <c r="Q189" s="18">
        <v>9</v>
      </c>
    </row>
    <row r="190" spans="1:17" s="15" customFormat="1" x14ac:dyDescent="0.3">
      <c r="A190" s="15">
        <v>188</v>
      </c>
      <c r="B190" s="39">
        <v>0</v>
      </c>
      <c r="C190" s="14">
        <v>0</v>
      </c>
      <c r="D190" s="18">
        <v>0</v>
      </c>
      <c r="E190" s="13">
        <v>22</v>
      </c>
      <c r="F190" s="13">
        <v>9</v>
      </c>
      <c r="G190" s="13">
        <v>5.8</v>
      </c>
      <c r="H190" s="15">
        <f>CONVERT(190,"ft","m")*100</f>
        <v>5791.2</v>
      </c>
      <c r="I190" s="13">
        <f t="shared" si="5"/>
        <v>57.911999999999999</v>
      </c>
      <c r="J190" s="13">
        <f>I190*I190</f>
        <v>3353.7997439999999</v>
      </c>
      <c r="K190" s="13">
        <v>62</v>
      </c>
      <c r="L190" s="15">
        <f t="shared" si="4"/>
        <v>1.8486494344487611E-2</v>
      </c>
      <c r="M190" s="16">
        <v>0</v>
      </c>
      <c r="N190" s="16">
        <v>0</v>
      </c>
      <c r="O190" s="22">
        <v>0</v>
      </c>
      <c r="P190" s="22">
        <v>0</v>
      </c>
      <c r="Q190" s="18">
        <v>9</v>
      </c>
    </row>
    <row r="191" spans="1:17" s="15" customFormat="1" x14ac:dyDescent="0.3">
      <c r="A191" s="15">
        <v>189</v>
      </c>
      <c r="B191" s="39">
        <v>0</v>
      </c>
      <c r="C191" s="14">
        <v>0</v>
      </c>
      <c r="D191" s="18">
        <v>0</v>
      </c>
      <c r="E191" s="13">
        <v>22</v>
      </c>
      <c r="F191" s="13">
        <v>9</v>
      </c>
      <c r="G191" s="13">
        <v>5.9</v>
      </c>
      <c r="H191" s="15">
        <f>CONVERT(191,"ft","m")*100</f>
        <v>5821.68</v>
      </c>
      <c r="I191" s="13">
        <f t="shared" si="5"/>
        <v>58.216800000000006</v>
      </c>
      <c r="J191" s="13">
        <f>I191*I191</f>
        <v>3389.1958022400008</v>
      </c>
      <c r="K191" s="13">
        <v>64</v>
      </c>
      <c r="L191" s="15">
        <f t="shared" si="4"/>
        <v>1.8883535721866782E-2</v>
      </c>
      <c r="M191" s="16">
        <v>0</v>
      </c>
      <c r="N191" s="16">
        <v>0</v>
      </c>
      <c r="O191" s="22">
        <v>0</v>
      </c>
      <c r="P191" s="22">
        <v>0</v>
      </c>
      <c r="Q191" s="18">
        <v>9</v>
      </c>
    </row>
    <row r="192" spans="1:17" s="15" customFormat="1" x14ac:dyDescent="0.3">
      <c r="A192" s="15">
        <v>190</v>
      </c>
      <c r="B192" s="39">
        <v>0</v>
      </c>
      <c r="C192" s="14">
        <v>0</v>
      </c>
      <c r="D192" s="18">
        <v>0</v>
      </c>
      <c r="E192" s="13">
        <v>29</v>
      </c>
      <c r="F192" s="13">
        <v>9</v>
      </c>
      <c r="G192" s="13">
        <v>5.0999999999999996</v>
      </c>
      <c r="H192" s="15">
        <f>CONVERT(192,"ft","m")*100</f>
        <v>5852.16</v>
      </c>
      <c r="I192" s="13">
        <f t="shared" si="5"/>
        <v>58.521599999999999</v>
      </c>
      <c r="J192" s="13">
        <f>I192*I192</f>
        <v>3424.7776665599999</v>
      </c>
      <c r="K192" s="13">
        <v>67</v>
      </c>
      <c r="L192" s="15">
        <f t="shared" si="4"/>
        <v>1.9563313745647553E-2</v>
      </c>
      <c r="M192" s="16">
        <v>0</v>
      </c>
      <c r="N192" s="16">
        <v>0</v>
      </c>
      <c r="O192" s="22">
        <v>0</v>
      </c>
      <c r="P192" s="22">
        <v>0</v>
      </c>
      <c r="Q192" s="18">
        <v>9</v>
      </c>
    </row>
    <row r="193" spans="1:17" s="15" customFormat="1" x14ac:dyDescent="0.3">
      <c r="A193" s="15">
        <v>191</v>
      </c>
      <c r="B193" s="39">
        <v>0</v>
      </c>
      <c r="C193" s="14">
        <v>1</v>
      </c>
      <c r="D193" s="18">
        <v>0</v>
      </c>
      <c r="E193" s="13">
        <v>23</v>
      </c>
      <c r="F193" s="13">
        <v>1</v>
      </c>
      <c r="G193" s="13">
        <v>5.1100000000000003</v>
      </c>
      <c r="H193" s="15">
        <f>CONVERT(193,"ft","m")*100</f>
        <v>5882.64</v>
      </c>
      <c r="I193" s="13">
        <f t="shared" si="5"/>
        <v>58.826400000000007</v>
      </c>
      <c r="J193" s="13">
        <f>I193*I193</f>
        <v>3460.5453369600009</v>
      </c>
      <c r="K193" s="13">
        <v>68</v>
      </c>
      <c r="L193" s="15">
        <f t="shared" si="4"/>
        <v>1.9650082105191036E-2</v>
      </c>
      <c r="M193" s="16">
        <v>0</v>
      </c>
      <c r="N193" s="16">
        <v>0</v>
      </c>
      <c r="O193" s="22">
        <v>0</v>
      </c>
      <c r="P193" s="22">
        <v>0</v>
      </c>
      <c r="Q193" s="18">
        <v>9</v>
      </c>
    </row>
    <row r="194" spans="1:17" s="15" customFormat="1" x14ac:dyDescent="0.3">
      <c r="A194" s="15">
        <v>192</v>
      </c>
      <c r="B194" s="39">
        <v>0</v>
      </c>
      <c r="C194" s="14">
        <v>1</v>
      </c>
      <c r="D194" s="18">
        <v>0</v>
      </c>
      <c r="E194" s="13">
        <v>27</v>
      </c>
      <c r="F194" s="13">
        <v>1</v>
      </c>
      <c r="G194" s="13">
        <v>5.7</v>
      </c>
      <c r="H194" s="15">
        <f>CONVERT(194,"ft","m")*100</f>
        <v>5913.12</v>
      </c>
      <c r="I194" s="13">
        <f t="shared" si="5"/>
        <v>59.1312</v>
      </c>
      <c r="J194" s="13">
        <f>I194*I194</f>
        <v>3496.49881344</v>
      </c>
      <c r="K194" s="13">
        <v>52</v>
      </c>
      <c r="L194" s="15">
        <f t="shared" ref="L194:L257" si="6">K194/J194</f>
        <v>1.487201991893149E-2</v>
      </c>
      <c r="M194" s="16">
        <v>0</v>
      </c>
      <c r="N194" s="16">
        <v>0</v>
      </c>
      <c r="O194" s="22">
        <v>0</v>
      </c>
      <c r="P194" s="22">
        <v>0</v>
      </c>
      <c r="Q194" s="18">
        <v>9</v>
      </c>
    </row>
    <row r="195" spans="1:17" s="15" customFormat="1" x14ac:dyDescent="0.3">
      <c r="A195" s="15">
        <v>193</v>
      </c>
      <c r="B195" s="39">
        <v>0</v>
      </c>
      <c r="C195" s="14">
        <v>1</v>
      </c>
      <c r="D195" s="18">
        <v>0</v>
      </c>
      <c r="E195" s="13">
        <v>55</v>
      </c>
      <c r="F195" s="13">
        <v>1</v>
      </c>
      <c r="G195" s="13">
        <v>5.9</v>
      </c>
      <c r="H195" s="15">
        <f>CONVERT(195,"ft","m")*100</f>
        <v>5943.6</v>
      </c>
      <c r="I195" s="13">
        <f t="shared" si="5"/>
        <v>59.436000000000007</v>
      </c>
      <c r="J195" s="13">
        <f>I195*I195</f>
        <v>3532.638096000001</v>
      </c>
      <c r="K195" s="13">
        <v>55</v>
      </c>
      <c r="L195" s="15">
        <f t="shared" si="6"/>
        <v>1.5569101194451927E-2</v>
      </c>
      <c r="M195" s="16">
        <v>0</v>
      </c>
      <c r="N195" s="16">
        <v>0</v>
      </c>
      <c r="O195" s="22">
        <v>0</v>
      </c>
      <c r="P195" s="22">
        <v>0</v>
      </c>
      <c r="Q195" s="18">
        <v>9</v>
      </c>
    </row>
    <row r="196" spans="1:17" s="15" customFormat="1" x14ac:dyDescent="0.3">
      <c r="A196" s="15">
        <v>194</v>
      </c>
      <c r="B196" s="39">
        <v>0</v>
      </c>
      <c r="C196" s="14">
        <v>1</v>
      </c>
      <c r="D196" s="18">
        <v>0</v>
      </c>
      <c r="E196" s="13">
        <v>46</v>
      </c>
      <c r="F196" s="13">
        <v>1</v>
      </c>
      <c r="G196" s="13">
        <v>5.1100000000000003</v>
      </c>
      <c r="H196" s="15">
        <f>CONVERT(196,"ft","m")*100</f>
        <v>5974.08</v>
      </c>
      <c r="I196" s="13">
        <f t="shared" ref="I196:I259" si="7">H196/100</f>
        <v>59.7408</v>
      </c>
      <c r="J196" s="13">
        <f>I196*I196</f>
        <v>3568.9631846400002</v>
      </c>
      <c r="K196" s="13">
        <v>56</v>
      </c>
      <c r="L196" s="15">
        <f t="shared" si="6"/>
        <v>1.5690831511238661E-2</v>
      </c>
      <c r="M196" s="16">
        <v>0</v>
      </c>
      <c r="N196" s="16">
        <v>0</v>
      </c>
      <c r="O196" s="22">
        <v>0</v>
      </c>
      <c r="P196" s="22">
        <v>0</v>
      </c>
      <c r="Q196" s="18">
        <v>9</v>
      </c>
    </row>
    <row r="197" spans="1:17" s="15" customFormat="1" x14ac:dyDescent="0.3">
      <c r="A197" s="15">
        <v>195</v>
      </c>
      <c r="B197" s="39">
        <v>0</v>
      </c>
      <c r="C197" s="14">
        <v>1</v>
      </c>
      <c r="D197" s="18">
        <v>0</v>
      </c>
      <c r="E197" s="13">
        <v>23</v>
      </c>
      <c r="F197" s="13">
        <v>1</v>
      </c>
      <c r="G197" s="13">
        <v>6</v>
      </c>
      <c r="H197" s="15">
        <f>CONVERT(197,"ft","m")*100</f>
        <v>6004.56</v>
      </c>
      <c r="I197" s="13">
        <f t="shared" si="7"/>
        <v>60.045600000000007</v>
      </c>
      <c r="J197" s="13">
        <f>I197*I197</f>
        <v>3605.4740793600008</v>
      </c>
      <c r="K197" s="13">
        <v>58</v>
      </c>
      <c r="L197" s="15">
        <f t="shared" si="6"/>
        <v>1.6086650111292837E-2</v>
      </c>
      <c r="M197" s="16">
        <v>0</v>
      </c>
      <c r="N197" s="16">
        <v>0</v>
      </c>
      <c r="O197" s="22">
        <v>0</v>
      </c>
      <c r="P197" s="22">
        <v>0</v>
      </c>
      <c r="Q197" s="18">
        <v>9</v>
      </c>
    </row>
    <row r="198" spans="1:17" s="15" customFormat="1" x14ac:dyDescent="0.3">
      <c r="A198" s="15">
        <v>196</v>
      </c>
      <c r="B198" s="39">
        <v>0</v>
      </c>
      <c r="C198" s="14">
        <v>0</v>
      </c>
      <c r="D198" s="18">
        <v>0</v>
      </c>
      <c r="E198" s="13">
        <v>23</v>
      </c>
      <c r="F198" s="13">
        <v>9</v>
      </c>
      <c r="G198" s="13">
        <v>5.8</v>
      </c>
      <c r="H198" s="15">
        <f>CONVERT(198,"ft","m")*100</f>
        <v>6035.04</v>
      </c>
      <c r="I198" s="13">
        <f t="shared" si="7"/>
        <v>60.3504</v>
      </c>
      <c r="J198" s="13">
        <f>I198*I198</f>
        <v>3642.17078016</v>
      </c>
      <c r="K198" s="13">
        <v>55</v>
      </c>
      <c r="L198" s="15">
        <f t="shared" si="6"/>
        <v>1.5100884422993437E-2</v>
      </c>
      <c r="M198" s="16">
        <v>0</v>
      </c>
      <c r="N198" s="16">
        <v>0</v>
      </c>
      <c r="O198" s="22">
        <v>0</v>
      </c>
      <c r="P198" s="22">
        <v>0</v>
      </c>
      <c r="Q198" s="18">
        <v>9</v>
      </c>
    </row>
    <row r="199" spans="1:17" s="15" customFormat="1" x14ac:dyDescent="0.3">
      <c r="A199" s="15">
        <v>197</v>
      </c>
      <c r="B199" s="39">
        <v>0</v>
      </c>
      <c r="C199" s="14">
        <v>1</v>
      </c>
      <c r="D199" s="18">
        <v>0</v>
      </c>
      <c r="E199" s="13">
        <v>30</v>
      </c>
      <c r="F199" s="13">
        <v>1</v>
      </c>
      <c r="G199" s="13">
        <v>5.8</v>
      </c>
      <c r="H199" s="15">
        <f>CONVERT(199,"ft","m")*100</f>
        <v>6065.52</v>
      </c>
      <c r="I199" s="13">
        <f t="shared" si="7"/>
        <v>60.655200000000008</v>
      </c>
      <c r="J199" s="13">
        <f>I199*I199</f>
        <v>3679.0532870400011</v>
      </c>
      <c r="K199" s="13">
        <v>60</v>
      </c>
      <c r="L199" s="15">
        <f t="shared" si="6"/>
        <v>1.6308543344930256E-2</v>
      </c>
      <c r="M199" s="16">
        <v>0</v>
      </c>
      <c r="N199" s="16">
        <v>0</v>
      </c>
      <c r="O199" s="22">
        <v>0</v>
      </c>
      <c r="P199" s="22">
        <v>0</v>
      </c>
      <c r="Q199" s="18">
        <v>9</v>
      </c>
    </row>
    <row r="200" spans="1:17" s="15" customFormat="1" x14ac:dyDescent="0.3">
      <c r="A200" s="15">
        <v>198</v>
      </c>
      <c r="B200" s="39">
        <v>0</v>
      </c>
      <c r="C200" s="14">
        <v>1</v>
      </c>
      <c r="D200" s="18">
        <v>0</v>
      </c>
      <c r="E200" s="13">
        <v>21</v>
      </c>
      <c r="F200" s="13">
        <v>1</v>
      </c>
      <c r="G200" s="13">
        <v>5.0999999999999996</v>
      </c>
      <c r="H200" s="15">
        <f>CONVERT(200,"ft","m")*100</f>
        <v>6096</v>
      </c>
      <c r="I200" s="13">
        <f t="shared" si="7"/>
        <v>60.96</v>
      </c>
      <c r="J200" s="13">
        <f>I200*I200</f>
        <v>3716.1215999999999</v>
      </c>
      <c r="K200" s="13">
        <v>60</v>
      </c>
      <c r="L200" s="15">
        <f t="shared" si="6"/>
        <v>1.6145865625064582E-2</v>
      </c>
      <c r="M200" s="16">
        <v>0</v>
      </c>
      <c r="N200" s="16">
        <v>0</v>
      </c>
      <c r="O200" s="22">
        <v>0</v>
      </c>
      <c r="P200" s="22">
        <v>0</v>
      </c>
      <c r="Q200" s="18">
        <v>9</v>
      </c>
    </row>
    <row r="201" spans="1:17" s="15" customFormat="1" x14ac:dyDescent="0.3">
      <c r="A201" s="15">
        <v>199</v>
      </c>
      <c r="B201" s="39">
        <v>0</v>
      </c>
      <c r="C201" s="14">
        <v>1</v>
      </c>
      <c r="D201" s="18">
        <v>0</v>
      </c>
      <c r="E201" s="13">
        <v>50</v>
      </c>
      <c r="F201" s="13">
        <v>1</v>
      </c>
      <c r="G201" s="13">
        <v>5.7</v>
      </c>
      <c r="H201" s="15">
        <f>CONVERT(201,"ft","m")*100</f>
        <v>6126.4800000000005</v>
      </c>
      <c r="I201" s="13">
        <f t="shared" si="7"/>
        <v>61.264800000000008</v>
      </c>
      <c r="J201" s="13">
        <f>I201*I201</f>
        <v>3753.3757190400011</v>
      </c>
      <c r="K201" s="13">
        <v>61</v>
      </c>
      <c r="L201" s="15">
        <f t="shared" si="6"/>
        <v>1.6252036717390481E-2</v>
      </c>
      <c r="M201" s="16">
        <v>0</v>
      </c>
      <c r="N201" s="16">
        <v>0</v>
      </c>
      <c r="O201" s="22">
        <v>0</v>
      </c>
      <c r="P201" s="22">
        <v>0</v>
      </c>
      <c r="Q201" s="18">
        <v>9</v>
      </c>
    </row>
    <row r="202" spans="1:17" s="15" customFormat="1" x14ac:dyDescent="0.3">
      <c r="A202" s="15">
        <v>200</v>
      </c>
      <c r="B202" s="39">
        <v>0</v>
      </c>
      <c r="C202" s="14">
        <v>1</v>
      </c>
      <c r="D202" s="18">
        <v>0</v>
      </c>
      <c r="E202" s="13">
        <v>49</v>
      </c>
      <c r="F202" s="13">
        <v>1</v>
      </c>
      <c r="G202" s="13">
        <v>5.9</v>
      </c>
      <c r="H202" s="15">
        <f>CONVERT(202,"ft","m")*100</f>
        <v>6156.96</v>
      </c>
      <c r="I202" s="13">
        <f t="shared" si="7"/>
        <v>61.569600000000001</v>
      </c>
      <c r="J202" s="13">
        <f>I202*I202</f>
        <v>3790.8156441600004</v>
      </c>
      <c r="K202" s="13">
        <v>62</v>
      </c>
      <c r="L202" s="15">
        <f t="shared" si="6"/>
        <v>1.6355319229389341E-2</v>
      </c>
      <c r="M202" s="16">
        <v>0</v>
      </c>
      <c r="N202" s="16">
        <v>0</v>
      </c>
      <c r="O202" s="22">
        <v>0</v>
      </c>
      <c r="P202" s="22">
        <v>0</v>
      </c>
      <c r="Q202" s="18">
        <v>9</v>
      </c>
    </row>
    <row r="203" spans="1:17" s="15" customFormat="1" x14ac:dyDescent="0.3">
      <c r="A203" s="15">
        <v>201</v>
      </c>
      <c r="B203" s="39">
        <v>0</v>
      </c>
      <c r="C203" s="14">
        <v>0</v>
      </c>
      <c r="D203" s="18">
        <v>0</v>
      </c>
      <c r="E203" s="13">
        <v>44</v>
      </c>
      <c r="F203" s="13">
        <v>9</v>
      </c>
      <c r="G203" s="13">
        <v>5.7</v>
      </c>
      <c r="H203" s="15">
        <f>CONVERT(203,"ft","m")*100</f>
        <v>6187.4400000000005</v>
      </c>
      <c r="I203" s="13">
        <f t="shared" si="7"/>
        <v>61.874400000000009</v>
      </c>
      <c r="J203" s="13">
        <f>I203*I203</f>
        <v>3828.4413753600011</v>
      </c>
      <c r="K203" s="13">
        <v>64</v>
      </c>
      <c r="L203" s="15">
        <f t="shared" si="6"/>
        <v>1.6716985771783398E-2</v>
      </c>
      <c r="M203" s="16">
        <v>0</v>
      </c>
      <c r="N203" s="16">
        <v>0</v>
      </c>
      <c r="O203" s="22">
        <v>0</v>
      </c>
      <c r="P203" s="22">
        <v>0</v>
      </c>
      <c r="Q203" s="18">
        <v>9</v>
      </c>
    </row>
    <row r="204" spans="1:17" s="15" customFormat="1" x14ac:dyDescent="0.3">
      <c r="A204" s="15">
        <v>202</v>
      </c>
      <c r="B204" s="39">
        <v>0</v>
      </c>
      <c r="C204" s="14">
        <v>0</v>
      </c>
      <c r="D204" s="18">
        <v>0</v>
      </c>
      <c r="E204" s="13">
        <v>55</v>
      </c>
      <c r="F204" s="13">
        <v>1</v>
      </c>
      <c r="G204" s="13">
        <v>5.8</v>
      </c>
      <c r="H204" s="15">
        <f>CONVERT(204,"ft","m")*100</f>
        <v>6217.92</v>
      </c>
      <c r="I204" s="13">
        <f t="shared" si="7"/>
        <v>62.179200000000002</v>
      </c>
      <c r="J204" s="13">
        <f>I204*I204</f>
        <v>3866.25291264</v>
      </c>
      <c r="K204" s="13">
        <v>65</v>
      </c>
      <c r="L204" s="15">
        <f t="shared" si="6"/>
        <v>1.6812143816948576E-2</v>
      </c>
      <c r="M204" s="16">
        <v>0</v>
      </c>
      <c r="N204" s="16">
        <v>0</v>
      </c>
      <c r="O204" s="22">
        <v>0</v>
      </c>
      <c r="P204" s="22">
        <v>0</v>
      </c>
      <c r="Q204" s="16">
        <v>10</v>
      </c>
    </row>
    <row r="205" spans="1:17" s="15" customFormat="1" x14ac:dyDescent="0.3">
      <c r="A205" s="15">
        <v>203</v>
      </c>
      <c r="B205" s="39">
        <v>0</v>
      </c>
      <c r="C205" s="14">
        <v>1</v>
      </c>
      <c r="D205" s="18">
        <v>0</v>
      </c>
      <c r="E205" s="13">
        <v>39</v>
      </c>
      <c r="F205" s="13">
        <v>1</v>
      </c>
      <c r="G205" s="13">
        <v>5.9</v>
      </c>
      <c r="H205" s="15">
        <f>CONVERT(205,"ft","m")*100</f>
        <v>6248.4000000000005</v>
      </c>
      <c r="I205" s="13">
        <f t="shared" si="7"/>
        <v>62.484000000000009</v>
      </c>
      <c r="J205" s="13">
        <f>I205*I205</f>
        <v>3904.2502560000012</v>
      </c>
      <c r="K205" s="13">
        <v>55</v>
      </c>
      <c r="L205" s="15">
        <f t="shared" si="6"/>
        <v>1.408721172918583E-2</v>
      </c>
      <c r="M205" s="16">
        <v>0</v>
      </c>
      <c r="N205" s="16">
        <v>0</v>
      </c>
      <c r="O205" s="22">
        <v>0</v>
      </c>
      <c r="P205" s="22">
        <v>0</v>
      </c>
      <c r="Q205" s="16">
        <v>10</v>
      </c>
    </row>
    <row r="206" spans="1:17" s="15" customFormat="1" x14ac:dyDescent="0.3">
      <c r="A206" s="15">
        <v>204</v>
      </c>
      <c r="B206" s="39">
        <v>0</v>
      </c>
      <c r="C206" s="14">
        <v>1</v>
      </c>
      <c r="D206" s="18">
        <v>0</v>
      </c>
      <c r="E206" s="13">
        <v>27</v>
      </c>
      <c r="F206" s="13">
        <v>1</v>
      </c>
      <c r="G206" s="13">
        <v>5.0999999999999996</v>
      </c>
      <c r="H206" s="15">
        <f>CONVERT(206,"ft","m")*100</f>
        <v>6278.88</v>
      </c>
      <c r="I206" s="13">
        <f t="shared" si="7"/>
        <v>62.788800000000002</v>
      </c>
      <c r="J206" s="13">
        <f>I206*I206</f>
        <v>3942.4334054400001</v>
      </c>
      <c r="K206" s="13">
        <v>56</v>
      </c>
      <c r="L206" s="15">
        <f t="shared" si="6"/>
        <v>1.4204425095101905E-2</v>
      </c>
      <c r="M206" s="16">
        <v>0</v>
      </c>
      <c r="N206" s="16">
        <v>0</v>
      </c>
      <c r="O206" s="22">
        <v>0</v>
      </c>
      <c r="P206" s="22">
        <v>0</v>
      </c>
      <c r="Q206" s="16">
        <v>10</v>
      </c>
    </row>
    <row r="207" spans="1:17" s="15" customFormat="1" x14ac:dyDescent="0.3">
      <c r="A207" s="15">
        <v>205</v>
      </c>
      <c r="B207" s="39">
        <v>0</v>
      </c>
      <c r="C207" s="14">
        <v>0</v>
      </c>
      <c r="D207" s="18">
        <v>0</v>
      </c>
      <c r="E207" s="13">
        <v>56</v>
      </c>
      <c r="F207" s="13">
        <v>10</v>
      </c>
      <c r="G207" s="13">
        <v>5.1100000000000003</v>
      </c>
      <c r="H207" s="15">
        <f>CONVERT(207,"ft","m")*100</f>
        <v>6309.3600000000006</v>
      </c>
      <c r="I207" s="13">
        <f t="shared" si="7"/>
        <v>63.093600000000009</v>
      </c>
      <c r="J207" s="13">
        <f>I207*I207</f>
        <v>3980.8023609600014</v>
      </c>
      <c r="K207" s="13">
        <v>54</v>
      </c>
      <c r="L207" s="15">
        <f t="shared" si="6"/>
        <v>1.3565104494908277E-2</v>
      </c>
      <c r="M207" s="16">
        <v>0</v>
      </c>
      <c r="N207" s="16">
        <v>0</v>
      </c>
      <c r="O207" s="22">
        <v>0</v>
      </c>
      <c r="P207" s="22">
        <v>0</v>
      </c>
      <c r="Q207" s="16">
        <v>10</v>
      </c>
    </row>
    <row r="208" spans="1:17" s="15" customFormat="1" x14ac:dyDescent="0.3">
      <c r="A208" s="15">
        <v>206</v>
      </c>
      <c r="B208" s="39">
        <v>0</v>
      </c>
      <c r="C208" s="14">
        <v>0</v>
      </c>
      <c r="D208" s="18">
        <v>0</v>
      </c>
      <c r="E208" s="13">
        <v>59</v>
      </c>
      <c r="F208" s="13">
        <v>10</v>
      </c>
      <c r="G208" s="13">
        <v>5.7</v>
      </c>
      <c r="H208" s="15">
        <f>CONVERT(208,"ft","m")*100</f>
        <v>6339.84</v>
      </c>
      <c r="I208" s="13">
        <f t="shared" si="7"/>
        <v>63.398400000000002</v>
      </c>
      <c r="J208" s="13">
        <f>I208*I208</f>
        <v>4019.3571225600003</v>
      </c>
      <c r="K208" s="13">
        <v>59</v>
      </c>
      <c r="L208" s="15">
        <f t="shared" si="6"/>
        <v>1.4678964371899814E-2</v>
      </c>
      <c r="M208" s="16">
        <v>0</v>
      </c>
      <c r="N208" s="16">
        <v>0</v>
      </c>
      <c r="O208" s="22">
        <v>0</v>
      </c>
      <c r="P208" s="22">
        <v>0</v>
      </c>
      <c r="Q208" s="16">
        <v>10</v>
      </c>
    </row>
    <row r="209" spans="1:17" s="15" customFormat="1" x14ac:dyDescent="0.3">
      <c r="A209" s="15">
        <v>207</v>
      </c>
      <c r="B209" s="39">
        <v>0</v>
      </c>
      <c r="C209" s="14">
        <v>0</v>
      </c>
      <c r="D209" s="18">
        <v>0</v>
      </c>
      <c r="E209" s="13">
        <v>25</v>
      </c>
      <c r="F209" s="13">
        <v>10</v>
      </c>
      <c r="G209" s="13">
        <v>5.9</v>
      </c>
      <c r="H209" s="15">
        <f>CONVERT(209,"ft","m")*100</f>
        <v>6370.3200000000006</v>
      </c>
      <c r="I209" s="13">
        <f t="shared" si="7"/>
        <v>63.70320000000001</v>
      </c>
      <c r="J209" s="13">
        <f>I209*I209</f>
        <v>4058.0976902400012</v>
      </c>
      <c r="K209" s="13">
        <v>52</v>
      </c>
      <c r="L209" s="15">
        <f t="shared" si="6"/>
        <v>1.2813885709322254E-2</v>
      </c>
      <c r="M209" s="16">
        <v>0</v>
      </c>
      <c r="N209" s="16">
        <v>0</v>
      </c>
      <c r="O209" s="22">
        <v>0</v>
      </c>
      <c r="P209" s="22">
        <v>0</v>
      </c>
      <c r="Q209" s="16">
        <v>10</v>
      </c>
    </row>
    <row r="210" spans="1:17" s="15" customFormat="1" x14ac:dyDescent="0.3">
      <c r="A210" s="15">
        <v>208</v>
      </c>
      <c r="B210" s="39">
        <v>0</v>
      </c>
      <c r="C210" s="14">
        <v>0</v>
      </c>
      <c r="D210" s="18">
        <v>0</v>
      </c>
      <c r="E210" s="13">
        <v>21</v>
      </c>
      <c r="F210" s="13">
        <v>1</v>
      </c>
      <c r="G210" s="13">
        <v>5.1100000000000003</v>
      </c>
      <c r="H210" s="15">
        <f>CONVERT(210,"ft","m")*100</f>
        <v>6400.7999999999993</v>
      </c>
      <c r="I210" s="13">
        <f t="shared" si="7"/>
        <v>64.007999999999996</v>
      </c>
      <c r="J210" s="13">
        <f>I210*I210</f>
        <v>4097.0240639999993</v>
      </c>
      <c r="K210" s="13">
        <v>57</v>
      </c>
      <c r="L210" s="15">
        <f t="shared" si="6"/>
        <v>1.3912537273298282E-2</v>
      </c>
      <c r="M210" s="16">
        <v>0</v>
      </c>
      <c r="N210" s="16">
        <v>0</v>
      </c>
      <c r="O210" s="22">
        <v>0</v>
      </c>
      <c r="P210" s="22">
        <v>0</v>
      </c>
      <c r="Q210" s="16">
        <v>10</v>
      </c>
    </row>
    <row r="211" spans="1:17" s="15" customFormat="1" x14ac:dyDescent="0.3">
      <c r="A211" s="15">
        <v>209</v>
      </c>
      <c r="B211" s="39">
        <v>0</v>
      </c>
      <c r="C211" s="14">
        <v>0</v>
      </c>
      <c r="D211" s="18">
        <v>0</v>
      </c>
      <c r="E211" s="13">
        <v>65</v>
      </c>
      <c r="F211" s="13">
        <v>11</v>
      </c>
      <c r="G211" s="13">
        <v>5.8</v>
      </c>
      <c r="H211" s="15">
        <f>CONVERT(211,"ft","m")*100</f>
        <v>6431.28</v>
      </c>
      <c r="I211" s="13">
        <f t="shared" si="7"/>
        <v>64.312799999999996</v>
      </c>
      <c r="J211" s="13">
        <f>I211*I211</f>
        <v>4136.1362438399992</v>
      </c>
      <c r="K211" s="13">
        <v>60</v>
      </c>
      <c r="L211" s="15">
        <f t="shared" si="6"/>
        <v>1.4506291974631824E-2</v>
      </c>
      <c r="M211" s="16">
        <v>1</v>
      </c>
      <c r="N211" s="16">
        <v>0</v>
      </c>
      <c r="O211" s="22">
        <v>0</v>
      </c>
      <c r="P211" s="22">
        <v>0</v>
      </c>
      <c r="Q211" s="16">
        <v>10</v>
      </c>
    </row>
    <row r="212" spans="1:17" s="15" customFormat="1" x14ac:dyDescent="0.3">
      <c r="A212" s="15">
        <v>210</v>
      </c>
      <c r="B212" s="39">
        <v>0</v>
      </c>
      <c r="C212" s="14">
        <v>1</v>
      </c>
      <c r="D212" s="18">
        <v>0</v>
      </c>
      <c r="E212" s="13">
        <v>55</v>
      </c>
      <c r="F212" s="13">
        <v>1</v>
      </c>
      <c r="G212" s="13">
        <v>5.6</v>
      </c>
      <c r="H212" s="15">
        <f>CONVERT(212,"ft","m")*100</f>
        <v>6461.7599999999993</v>
      </c>
      <c r="I212" s="13">
        <f t="shared" si="7"/>
        <v>64.617599999999996</v>
      </c>
      <c r="J212" s="13">
        <f>I212*I212</f>
        <v>4175.4342297599997</v>
      </c>
      <c r="K212" s="13">
        <v>60</v>
      </c>
      <c r="L212" s="15">
        <f t="shared" si="6"/>
        <v>1.4369762927255772E-2</v>
      </c>
      <c r="M212" s="16">
        <v>0</v>
      </c>
      <c r="N212" s="16">
        <v>0</v>
      </c>
      <c r="O212" s="22">
        <v>0</v>
      </c>
      <c r="P212" s="22">
        <v>0</v>
      </c>
      <c r="Q212" s="16">
        <v>10</v>
      </c>
    </row>
    <row r="213" spans="1:17" s="15" customFormat="1" x14ac:dyDescent="0.3">
      <c r="A213" s="15">
        <v>211</v>
      </c>
      <c r="B213" s="39">
        <v>0</v>
      </c>
      <c r="C213" s="14">
        <v>0</v>
      </c>
      <c r="D213" s="18">
        <v>0</v>
      </c>
      <c r="E213" s="13">
        <v>50</v>
      </c>
      <c r="F213" s="13">
        <v>9</v>
      </c>
      <c r="G213" s="13">
        <v>5.8</v>
      </c>
      <c r="H213" s="15">
        <f>CONVERT(213,"ft","m")*100</f>
        <v>6492.24</v>
      </c>
      <c r="I213" s="13">
        <f t="shared" si="7"/>
        <v>64.922399999999996</v>
      </c>
      <c r="J213" s="13">
        <f>I213*I213</f>
        <v>4214.9180217599996</v>
      </c>
      <c r="K213" s="13">
        <v>61</v>
      </c>
      <c r="L213" s="15">
        <f t="shared" si="6"/>
        <v>1.4472404845143007E-2</v>
      </c>
      <c r="M213" s="16">
        <v>0</v>
      </c>
      <c r="N213" s="16">
        <v>0</v>
      </c>
      <c r="O213" s="22">
        <v>0</v>
      </c>
      <c r="P213" s="22">
        <v>0</v>
      </c>
      <c r="Q213" s="16">
        <v>10</v>
      </c>
    </row>
    <row r="214" spans="1:17" s="15" customFormat="1" x14ac:dyDescent="0.3">
      <c r="A214" s="15">
        <v>212</v>
      </c>
      <c r="B214" s="39">
        <v>0</v>
      </c>
      <c r="C214" s="14">
        <v>0</v>
      </c>
      <c r="D214" s="18">
        <v>0</v>
      </c>
      <c r="E214" s="13">
        <v>36</v>
      </c>
      <c r="F214" s="13">
        <v>9</v>
      </c>
      <c r="G214" s="13">
        <v>5.0999999999999996</v>
      </c>
      <c r="H214" s="15">
        <f>CONVERT(214,"ft","m")*100</f>
        <v>6522.7199999999993</v>
      </c>
      <c r="I214" s="13">
        <f t="shared" si="7"/>
        <v>65.227199999999996</v>
      </c>
      <c r="J214" s="13">
        <f>I214*I214</f>
        <v>4254.5876198399992</v>
      </c>
      <c r="K214" s="13">
        <v>60</v>
      </c>
      <c r="L214" s="15">
        <f t="shared" si="6"/>
        <v>1.4102424338426576E-2</v>
      </c>
      <c r="M214" s="16">
        <v>0</v>
      </c>
      <c r="N214" s="16">
        <v>0</v>
      </c>
      <c r="O214" s="22">
        <v>0</v>
      </c>
      <c r="P214" s="22">
        <v>0</v>
      </c>
      <c r="Q214" s="16">
        <v>10</v>
      </c>
    </row>
    <row r="215" spans="1:17" s="15" customFormat="1" x14ac:dyDescent="0.3">
      <c r="A215" s="15">
        <v>213</v>
      </c>
      <c r="B215" s="39">
        <v>0</v>
      </c>
      <c r="C215" s="14">
        <v>0</v>
      </c>
      <c r="D215" s="18">
        <v>0</v>
      </c>
      <c r="E215" s="13">
        <v>23</v>
      </c>
      <c r="F215" s="13">
        <v>9</v>
      </c>
      <c r="G215" s="13">
        <v>5.7</v>
      </c>
      <c r="H215" s="15">
        <f>CONVERT(215,"ft","m")*100</f>
        <v>6553.2</v>
      </c>
      <c r="I215" s="13">
        <f t="shared" si="7"/>
        <v>65.531999999999996</v>
      </c>
      <c r="J215" s="13">
        <f>I215*I215</f>
        <v>4294.4430239999992</v>
      </c>
      <c r="K215" s="13">
        <v>57</v>
      </c>
      <c r="L215" s="15">
        <f t="shared" si="6"/>
        <v>1.3272966874039033E-2</v>
      </c>
      <c r="M215" s="16">
        <v>0</v>
      </c>
      <c r="N215" s="16">
        <v>0</v>
      </c>
      <c r="O215" s="22">
        <v>0</v>
      </c>
      <c r="P215" s="22">
        <v>0</v>
      </c>
      <c r="Q215" s="16">
        <v>10</v>
      </c>
    </row>
    <row r="216" spans="1:17" s="15" customFormat="1" x14ac:dyDescent="0.3">
      <c r="A216" s="15">
        <v>214</v>
      </c>
      <c r="B216" s="39">
        <v>0</v>
      </c>
      <c r="C216" s="14">
        <v>0</v>
      </c>
      <c r="D216" s="18">
        <v>0</v>
      </c>
      <c r="E216" s="13">
        <v>59</v>
      </c>
      <c r="F216" s="13">
        <v>9</v>
      </c>
      <c r="G216" s="13">
        <v>5.9</v>
      </c>
      <c r="H216" s="15">
        <f>CONVERT(216,"ft","m")*100</f>
        <v>6583.6799999999994</v>
      </c>
      <c r="I216" s="13">
        <f t="shared" si="7"/>
        <v>65.836799999999997</v>
      </c>
      <c r="J216" s="13">
        <f>I216*I216</f>
        <v>4334.4842342399998</v>
      </c>
      <c r="K216" s="13">
        <v>61</v>
      </c>
      <c r="L216" s="15">
        <f t="shared" si="6"/>
        <v>1.4073185344206386E-2</v>
      </c>
      <c r="M216" s="16">
        <v>0</v>
      </c>
      <c r="N216" s="16">
        <v>0</v>
      </c>
      <c r="O216" s="22">
        <v>0</v>
      </c>
      <c r="P216" s="22">
        <v>0</v>
      </c>
      <c r="Q216" s="16">
        <v>10</v>
      </c>
    </row>
    <row r="217" spans="1:17" s="15" customFormat="1" x14ac:dyDescent="0.3">
      <c r="A217" s="15">
        <v>215</v>
      </c>
      <c r="B217" s="39">
        <v>0</v>
      </c>
      <c r="C217" s="14">
        <v>0</v>
      </c>
      <c r="D217" s="18">
        <v>0</v>
      </c>
      <c r="E217" s="13">
        <v>44</v>
      </c>
      <c r="F217" s="13">
        <v>9</v>
      </c>
      <c r="G217" s="13">
        <v>5.1100000000000003</v>
      </c>
      <c r="H217" s="15">
        <f>CONVERT(217,"ft","m")*100</f>
        <v>6614.16</v>
      </c>
      <c r="I217" s="13">
        <f t="shared" si="7"/>
        <v>66.141599999999997</v>
      </c>
      <c r="J217" s="13">
        <f>I217*I217</f>
        <v>4374.7112505599998</v>
      </c>
      <c r="K217" s="13">
        <v>63</v>
      </c>
      <c r="L217" s="15">
        <f t="shared" si="6"/>
        <v>1.4400950460887097E-2</v>
      </c>
      <c r="M217" s="16">
        <v>0</v>
      </c>
      <c r="N217" s="16">
        <v>0</v>
      </c>
      <c r="O217" s="22">
        <v>0</v>
      </c>
      <c r="P217" s="22">
        <v>0</v>
      </c>
      <c r="Q217" s="16">
        <v>10</v>
      </c>
    </row>
    <row r="218" spans="1:17" s="15" customFormat="1" x14ac:dyDescent="0.3">
      <c r="A218" s="15">
        <v>216</v>
      </c>
      <c r="B218" s="39">
        <v>0</v>
      </c>
      <c r="C218" s="14">
        <v>0</v>
      </c>
      <c r="D218" s="18">
        <v>0</v>
      </c>
      <c r="E218" s="13">
        <v>45</v>
      </c>
      <c r="F218" s="13">
        <v>1</v>
      </c>
      <c r="G218" s="13">
        <v>6</v>
      </c>
      <c r="H218" s="15">
        <f>CONVERT(218,"ft","m")*100</f>
        <v>6644.6399999999994</v>
      </c>
      <c r="I218" s="13">
        <f t="shared" si="7"/>
        <v>66.446399999999997</v>
      </c>
      <c r="J218" s="13">
        <f>I218*I218</f>
        <v>4415.1240729599995</v>
      </c>
      <c r="K218" s="13">
        <v>70</v>
      </c>
      <c r="L218" s="15">
        <f t="shared" si="6"/>
        <v>1.5854594082351667E-2</v>
      </c>
      <c r="M218" s="16">
        <v>0</v>
      </c>
      <c r="N218" s="16">
        <v>2</v>
      </c>
      <c r="O218" s="22">
        <v>0</v>
      </c>
      <c r="P218" s="22">
        <v>0</v>
      </c>
      <c r="Q218" s="16">
        <v>10</v>
      </c>
    </row>
    <row r="219" spans="1:17" s="15" customFormat="1" x14ac:dyDescent="0.3">
      <c r="A219" s="15">
        <v>217</v>
      </c>
      <c r="B219" s="39">
        <v>0</v>
      </c>
      <c r="C219" s="14">
        <v>1</v>
      </c>
      <c r="D219" s="18">
        <v>0</v>
      </c>
      <c r="E219" s="13">
        <v>25</v>
      </c>
      <c r="F219" s="13">
        <v>1</v>
      </c>
      <c r="G219" s="13">
        <v>6.2</v>
      </c>
      <c r="H219" s="15">
        <f>CONVERT(219,"ft","m")*100</f>
        <v>6675.12</v>
      </c>
      <c r="I219" s="13">
        <f t="shared" si="7"/>
        <v>66.751199999999997</v>
      </c>
      <c r="J219" s="13">
        <f>I219*I219</f>
        <v>4455.7227014399996</v>
      </c>
      <c r="K219" s="13">
        <v>58</v>
      </c>
      <c r="L219" s="15">
        <f t="shared" si="6"/>
        <v>1.3016968040056795E-2</v>
      </c>
      <c r="M219" s="16">
        <v>1</v>
      </c>
      <c r="N219" s="16">
        <v>0</v>
      </c>
      <c r="O219" s="22">
        <v>0</v>
      </c>
      <c r="P219" s="22">
        <v>0</v>
      </c>
      <c r="Q219" s="16">
        <v>10</v>
      </c>
    </row>
    <row r="220" spans="1:17" s="15" customFormat="1" x14ac:dyDescent="0.3">
      <c r="A220" s="15">
        <v>218</v>
      </c>
      <c r="B220" s="39">
        <v>0</v>
      </c>
      <c r="C220" s="14">
        <v>1</v>
      </c>
      <c r="D220" s="18">
        <v>0</v>
      </c>
      <c r="E220" s="13">
        <v>18</v>
      </c>
      <c r="F220" s="13">
        <v>1</v>
      </c>
      <c r="G220" s="13">
        <v>5.8</v>
      </c>
      <c r="H220" s="15">
        <f>CONVERT(220,"ft","m")*100</f>
        <v>6705.5999999999995</v>
      </c>
      <c r="I220" s="13">
        <f t="shared" si="7"/>
        <v>67.055999999999997</v>
      </c>
      <c r="J220" s="13">
        <f>I220*I220</f>
        <v>4496.5071359999993</v>
      </c>
      <c r="K220" s="13">
        <v>59</v>
      </c>
      <c r="L220" s="15">
        <f t="shared" si="6"/>
        <v>1.3121295755906481E-2</v>
      </c>
      <c r="M220" s="16">
        <v>0</v>
      </c>
      <c r="N220" s="16">
        <v>0</v>
      </c>
      <c r="O220" s="22">
        <v>0</v>
      </c>
      <c r="P220" s="22">
        <v>0</v>
      </c>
      <c r="Q220" s="16">
        <v>10</v>
      </c>
    </row>
    <row r="221" spans="1:17" s="15" customFormat="1" x14ac:dyDescent="0.3">
      <c r="A221" s="15">
        <v>219</v>
      </c>
      <c r="B221" s="39">
        <v>0</v>
      </c>
      <c r="C221" s="14">
        <v>1</v>
      </c>
      <c r="D221" s="18">
        <v>0</v>
      </c>
      <c r="E221" s="13">
        <v>21</v>
      </c>
      <c r="F221" s="13">
        <v>1</v>
      </c>
      <c r="G221" s="13">
        <v>5.0999999999999996</v>
      </c>
      <c r="H221" s="15">
        <f>CONVERT(221,"ft","m")*100</f>
        <v>6736.08</v>
      </c>
      <c r="I221" s="13">
        <f t="shared" si="7"/>
        <v>67.360799999999998</v>
      </c>
      <c r="J221" s="13">
        <f>I221*I221</f>
        <v>4537.4773766399994</v>
      </c>
      <c r="K221" s="13">
        <v>62</v>
      </c>
      <c r="L221" s="15">
        <f t="shared" si="6"/>
        <v>1.3663979972482195E-2</v>
      </c>
      <c r="M221" s="16">
        <v>0</v>
      </c>
      <c r="N221" s="16">
        <v>0</v>
      </c>
      <c r="O221" s="22">
        <v>0</v>
      </c>
      <c r="P221" s="22">
        <v>0</v>
      </c>
      <c r="Q221" s="16">
        <v>10</v>
      </c>
    </row>
    <row r="222" spans="1:17" s="15" customFormat="1" x14ac:dyDescent="0.3">
      <c r="A222" s="15">
        <v>220</v>
      </c>
      <c r="B222" s="39">
        <v>0</v>
      </c>
      <c r="C222" s="14">
        <v>0</v>
      </c>
      <c r="D222" s="18">
        <v>0</v>
      </c>
      <c r="E222" s="13">
        <v>44</v>
      </c>
      <c r="F222" s="13">
        <v>9</v>
      </c>
      <c r="G222" s="13">
        <v>5.5</v>
      </c>
      <c r="H222" s="15">
        <f>CONVERT(222,"ft","m")*100</f>
        <v>6766.5599999999995</v>
      </c>
      <c r="I222" s="13">
        <f t="shared" si="7"/>
        <v>67.665599999999998</v>
      </c>
      <c r="J222" s="13">
        <f>I222*I222</f>
        <v>4578.6334233600001</v>
      </c>
      <c r="K222" s="13">
        <v>57</v>
      </c>
      <c r="L222" s="15">
        <f t="shared" si="6"/>
        <v>1.2449129408174137E-2</v>
      </c>
      <c r="M222" s="16">
        <v>0</v>
      </c>
      <c r="N222" s="16">
        <v>0</v>
      </c>
      <c r="O222" s="22">
        <v>0</v>
      </c>
      <c r="P222" s="22">
        <v>0</v>
      </c>
      <c r="Q222" s="16">
        <v>10</v>
      </c>
    </row>
    <row r="223" spans="1:17" s="15" customFormat="1" x14ac:dyDescent="0.3">
      <c r="A223" s="15">
        <v>221</v>
      </c>
      <c r="B223" s="39">
        <v>0</v>
      </c>
      <c r="C223" s="14">
        <v>0</v>
      </c>
      <c r="D223" s="18">
        <v>0</v>
      </c>
      <c r="E223" s="13">
        <v>57</v>
      </c>
      <c r="F223" s="13">
        <v>1</v>
      </c>
      <c r="G223" s="13">
        <v>5.0999999999999996</v>
      </c>
      <c r="H223" s="15">
        <f>CONVERT(223,"ft","m")*100</f>
        <v>6797.04</v>
      </c>
      <c r="I223" s="13">
        <f t="shared" si="7"/>
        <v>67.970399999999998</v>
      </c>
      <c r="J223" s="13">
        <f>I223*I223</f>
        <v>4619.9752761599993</v>
      </c>
      <c r="K223" s="13">
        <v>65</v>
      </c>
      <c r="L223" s="15">
        <f t="shared" si="6"/>
        <v>1.4069339361059583E-2</v>
      </c>
      <c r="M223" s="16">
        <v>0</v>
      </c>
      <c r="N223" s="16">
        <v>0</v>
      </c>
      <c r="O223" s="22">
        <v>0</v>
      </c>
      <c r="P223" s="22">
        <v>0</v>
      </c>
      <c r="Q223" s="16">
        <v>10</v>
      </c>
    </row>
    <row r="224" spans="1:17" s="15" customFormat="1" x14ac:dyDescent="0.3">
      <c r="A224" s="15">
        <v>222</v>
      </c>
      <c r="B224" s="39">
        <v>0</v>
      </c>
      <c r="C224" s="14">
        <v>0</v>
      </c>
      <c r="D224" s="18">
        <v>0</v>
      </c>
      <c r="E224" s="13">
        <v>62</v>
      </c>
      <c r="F224" s="13">
        <v>9</v>
      </c>
      <c r="G224" s="13">
        <v>5.0999999999999996</v>
      </c>
      <c r="H224" s="15">
        <f>CONVERT(224,"ft","m")*100</f>
        <v>6827.5199999999995</v>
      </c>
      <c r="I224" s="13">
        <f t="shared" si="7"/>
        <v>68.275199999999998</v>
      </c>
      <c r="J224" s="13">
        <f>I224*I224</f>
        <v>4661.50293504</v>
      </c>
      <c r="K224" s="13">
        <v>60</v>
      </c>
      <c r="L224" s="15">
        <f t="shared" si="6"/>
        <v>1.2871385224062965E-2</v>
      </c>
      <c r="M224" s="16">
        <v>1</v>
      </c>
      <c r="N224" s="16">
        <v>0</v>
      </c>
      <c r="O224" s="22">
        <v>0</v>
      </c>
      <c r="P224" s="22">
        <v>0</v>
      </c>
      <c r="Q224" s="16">
        <v>10</v>
      </c>
    </row>
    <row r="225" spans="1:17" s="15" customFormat="1" x14ac:dyDescent="0.3">
      <c r="A225" s="15">
        <v>223</v>
      </c>
      <c r="B225" s="39">
        <v>0</v>
      </c>
      <c r="C225" s="14">
        <v>1</v>
      </c>
      <c r="D225" s="18">
        <v>0</v>
      </c>
      <c r="E225" s="13">
        <v>59</v>
      </c>
      <c r="F225" s="13">
        <v>1</v>
      </c>
      <c r="G225" s="13">
        <v>5.9</v>
      </c>
      <c r="H225" s="15">
        <f>CONVERT(225,"ft","m")*100</f>
        <v>6858</v>
      </c>
      <c r="I225" s="13">
        <f t="shared" si="7"/>
        <v>68.58</v>
      </c>
      <c r="J225" s="13">
        <f>I225*I225</f>
        <v>4703.2163999999993</v>
      </c>
      <c r="K225" s="13">
        <v>55</v>
      </c>
      <c r="L225" s="15">
        <f t="shared" si="6"/>
        <v>1.1694124897166119E-2</v>
      </c>
      <c r="M225" s="16">
        <v>0</v>
      </c>
      <c r="N225" s="16">
        <v>0</v>
      </c>
      <c r="O225" s="22">
        <v>0</v>
      </c>
      <c r="P225" s="22">
        <v>0</v>
      </c>
      <c r="Q225" s="16">
        <v>10</v>
      </c>
    </row>
    <row r="226" spans="1:17" s="15" customFormat="1" x14ac:dyDescent="0.3">
      <c r="A226" s="15">
        <v>224</v>
      </c>
      <c r="B226" s="39">
        <v>0</v>
      </c>
      <c r="C226" s="14">
        <v>0</v>
      </c>
      <c r="D226" s="18">
        <v>0</v>
      </c>
      <c r="E226" s="13">
        <v>44</v>
      </c>
      <c r="F226" s="13">
        <v>11</v>
      </c>
      <c r="G226" s="13">
        <v>5.7</v>
      </c>
      <c r="H226" s="15">
        <f>CONVERT(226,"ft","m")*100</f>
        <v>6888.48</v>
      </c>
      <c r="I226" s="13">
        <f t="shared" si="7"/>
        <v>68.884799999999998</v>
      </c>
      <c r="J226" s="13">
        <f>I226*I226</f>
        <v>4745.1156710400001</v>
      </c>
      <c r="K226" s="13">
        <v>64</v>
      </c>
      <c r="L226" s="15">
        <f t="shared" si="6"/>
        <v>1.3487553188766196E-2</v>
      </c>
      <c r="M226" s="16">
        <v>0</v>
      </c>
      <c r="N226" s="16">
        <v>0</v>
      </c>
      <c r="O226" s="22">
        <v>0</v>
      </c>
      <c r="P226" s="22">
        <v>0</v>
      </c>
      <c r="Q226" s="16">
        <v>10</v>
      </c>
    </row>
    <row r="227" spans="1:17" s="15" customFormat="1" x14ac:dyDescent="0.3">
      <c r="A227" s="15">
        <v>225</v>
      </c>
      <c r="B227" s="39">
        <v>0</v>
      </c>
      <c r="C227" s="14">
        <v>1</v>
      </c>
      <c r="D227" s="18">
        <v>0</v>
      </c>
      <c r="E227" s="13">
        <v>54</v>
      </c>
      <c r="F227" s="13">
        <v>1</v>
      </c>
      <c r="G227" s="13">
        <v>5.8</v>
      </c>
      <c r="H227" s="15">
        <f>CONVERT(227,"ft","m")*100</f>
        <v>6918.96</v>
      </c>
      <c r="I227" s="13">
        <f t="shared" si="7"/>
        <v>69.189599999999999</v>
      </c>
      <c r="J227" s="13">
        <f>I227*I227</f>
        <v>4787.2007481599994</v>
      </c>
      <c r="K227" s="13">
        <v>54</v>
      </c>
      <c r="L227" s="15">
        <f t="shared" si="6"/>
        <v>1.1280078451014478E-2</v>
      </c>
      <c r="M227" s="16">
        <v>0</v>
      </c>
      <c r="N227" s="16">
        <v>0</v>
      </c>
      <c r="O227" s="22">
        <v>0</v>
      </c>
      <c r="P227" s="22">
        <v>0</v>
      </c>
      <c r="Q227" s="16">
        <v>10</v>
      </c>
    </row>
    <row r="228" spans="1:17" s="15" customFormat="1" x14ac:dyDescent="0.3">
      <c r="A228" s="15">
        <v>226</v>
      </c>
      <c r="B228" s="39">
        <v>0</v>
      </c>
      <c r="C228" s="14">
        <v>1</v>
      </c>
      <c r="D228" s="18">
        <v>0</v>
      </c>
      <c r="E228" s="13">
        <v>61</v>
      </c>
      <c r="F228" s="13">
        <v>1</v>
      </c>
      <c r="G228" s="13">
        <v>5.9</v>
      </c>
      <c r="H228" s="15">
        <f>CONVERT(228,"ft","m")*100</f>
        <v>6949.44</v>
      </c>
      <c r="I228" s="13">
        <f t="shared" si="7"/>
        <v>69.494399999999999</v>
      </c>
      <c r="J228" s="13">
        <f>I228*I228</f>
        <v>4829.4716313600002</v>
      </c>
      <c r="K228" s="13">
        <v>63</v>
      </c>
      <c r="L228" s="15">
        <f t="shared" si="6"/>
        <v>1.3044905283408596E-2</v>
      </c>
      <c r="M228" s="16">
        <v>0</v>
      </c>
      <c r="N228" s="16">
        <v>0</v>
      </c>
      <c r="O228" s="22">
        <v>0</v>
      </c>
      <c r="P228" s="22">
        <v>0</v>
      </c>
      <c r="Q228" s="16">
        <v>10</v>
      </c>
    </row>
    <row r="229" spans="1:17" s="15" customFormat="1" x14ac:dyDescent="0.3">
      <c r="A229" s="15">
        <v>227</v>
      </c>
      <c r="B229" s="39">
        <v>0</v>
      </c>
      <c r="C229" s="14">
        <v>1</v>
      </c>
      <c r="D229" s="18">
        <v>0</v>
      </c>
      <c r="E229" s="13">
        <v>62</v>
      </c>
      <c r="F229" s="13">
        <v>1</v>
      </c>
      <c r="G229" s="13">
        <v>5.0999999999999996</v>
      </c>
      <c r="H229" s="15">
        <f>CONVERT(229,"ft","m")*100</f>
        <v>6979.92</v>
      </c>
      <c r="I229" s="13">
        <f t="shared" si="7"/>
        <v>69.799199999999999</v>
      </c>
      <c r="J229" s="13">
        <f>I229*I229</f>
        <v>4871.9283206399996</v>
      </c>
      <c r="K229" s="13">
        <v>76</v>
      </c>
      <c r="L229" s="15">
        <f t="shared" si="6"/>
        <v>1.5599572694455464E-2</v>
      </c>
      <c r="M229" s="16">
        <v>0</v>
      </c>
      <c r="N229" s="16">
        <v>0</v>
      </c>
      <c r="O229" s="22">
        <v>0</v>
      </c>
      <c r="P229" s="22">
        <v>0</v>
      </c>
      <c r="Q229" s="16">
        <v>10</v>
      </c>
    </row>
    <row r="230" spans="1:17" s="15" customFormat="1" x14ac:dyDescent="0.3">
      <c r="A230" s="15">
        <v>228</v>
      </c>
      <c r="B230" s="39">
        <v>0</v>
      </c>
      <c r="C230" s="14">
        <v>1</v>
      </c>
      <c r="D230" s="18">
        <v>0</v>
      </c>
      <c r="E230" s="13">
        <v>52</v>
      </c>
      <c r="F230" s="13">
        <v>1</v>
      </c>
      <c r="G230" s="13">
        <v>5.1100000000000003</v>
      </c>
      <c r="H230" s="15">
        <f>CONVERT(230,"ft","m")*100</f>
        <v>7010.4</v>
      </c>
      <c r="I230" s="13">
        <f t="shared" si="7"/>
        <v>70.103999999999999</v>
      </c>
      <c r="J230" s="13">
        <f>I230*I230</f>
        <v>4914.5708159999995</v>
      </c>
      <c r="K230" s="13">
        <v>71</v>
      </c>
      <c r="L230" s="15">
        <f t="shared" si="6"/>
        <v>1.4446836287077323E-2</v>
      </c>
      <c r="M230" s="16">
        <v>0</v>
      </c>
      <c r="N230" s="16">
        <v>0</v>
      </c>
      <c r="O230" s="22">
        <v>0</v>
      </c>
      <c r="P230" s="22">
        <v>0</v>
      </c>
      <c r="Q230" s="16">
        <v>10</v>
      </c>
    </row>
    <row r="231" spans="1:17" s="15" customFormat="1" x14ac:dyDescent="0.3">
      <c r="A231" s="15">
        <v>229</v>
      </c>
      <c r="B231" s="39">
        <v>0</v>
      </c>
      <c r="C231" s="14">
        <v>0</v>
      </c>
      <c r="D231" s="18">
        <v>0</v>
      </c>
      <c r="E231" s="13">
        <v>63</v>
      </c>
      <c r="F231" s="13">
        <v>1</v>
      </c>
      <c r="G231" s="13">
        <v>6.2</v>
      </c>
      <c r="H231" s="15">
        <f>CONVERT(231,"ft","m")*100</f>
        <v>7040.88</v>
      </c>
      <c r="I231" s="13">
        <f t="shared" si="7"/>
        <v>70.408799999999999</v>
      </c>
      <c r="J231" s="13">
        <f>I231*I231</f>
        <v>4957.3991174399998</v>
      </c>
      <c r="K231" s="13">
        <v>66</v>
      </c>
      <c r="L231" s="15">
        <f t="shared" si="6"/>
        <v>1.3313432797414622E-2</v>
      </c>
      <c r="M231" s="16">
        <v>0</v>
      </c>
      <c r="N231" s="16">
        <v>0</v>
      </c>
      <c r="O231" s="22">
        <v>0</v>
      </c>
      <c r="P231" s="22">
        <v>0</v>
      </c>
      <c r="Q231" s="16">
        <v>10</v>
      </c>
    </row>
    <row r="232" spans="1:17" s="15" customFormat="1" x14ac:dyDescent="0.3">
      <c r="A232" s="15">
        <v>230</v>
      </c>
      <c r="B232" s="39">
        <v>0</v>
      </c>
      <c r="C232" s="14">
        <v>1</v>
      </c>
      <c r="D232" s="18">
        <v>0</v>
      </c>
      <c r="E232" s="13">
        <v>49</v>
      </c>
      <c r="F232" s="13">
        <v>1</v>
      </c>
      <c r="G232" s="13">
        <v>6.1</v>
      </c>
      <c r="H232" s="15">
        <f>CONVERT(232,"ft","m")*100</f>
        <v>7071.36</v>
      </c>
      <c r="I232" s="13">
        <f t="shared" si="7"/>
        <v>70.7136</v>
      </c>
      <c r="J232" s="13">
        <f>I232*I232</f>
        <v>5000.4132249599998</v>
      </c>
      <c r="K232" s="13">
        <v>59</v>
      </c>
      <c r="L232" s="15">
        <f t="shared" si="6"/>
        <v>1.1799024869684038E-2</v>
      </c>
      <c r="M232" s="16">
        <v>0</v>
      </c>
      <c r="N232" s="16">
        <v>0</v>
      </c>
      <c r="O232" s="22">
        <v>0</v>
      </c>
      <c r="P232" s="22">
        <v>0</v>
      </c>
      <c r="Q232" s="16">
        <v>10</v>
      </c>
    </row>
    <row r="233" spans="1:17" s="15" customFormat="1" x14ac:dyDescent="0.3">
      <c r="A233" s="15">
        <v>231</v>
      </c>
      <c r="B233" s="39">
        <v>0</v>
      </c>
      <c r="C233" s="14">
        <v>1</v>
      </c>
      <c r="D233" s="18">
        <v>0</v>
      </c>
      <c r="E233" s="13">
        <v>57</v>
      </c>
      <c r="F233" s="13">
        <v>11</v>
      </c>
      <c r="G233" s="13">
        <v>5.8</v>
      </c>
      <c r="H233" s="15">
        <f>CONVERT(233,"ft","m")*100</f>
        <v>7101.84</v>
      </c>
      <c r="I233" s="13">
        <f t="shared" si="7"/>
        <v>71.0184</v>
      </c>
      <c r="J233" s="13">
        <f>I233*I233</f>
        <v>5043.6131385600002</v>
      </c>
      <c r="K233" s="13">
        <v>55</v>
      </c>
      <c r="L233" s="15">
        <f t="shared" si="6"/>
        <v>1.0904880784671568E-2</v>
      </c>
      <c r="M233" s="16">
        <v>0</v>
      </c>
      <c r="N233" s="16">
        <v>0</v>
      </c>
      <c r="O233" s="22">
        <v>0</v>
      </c>
      <c r="P233" s="22">
        <v>0</v>
      </c>
      <c r="Q233" s="16">
        <v>10</v>
      </c>
    </row>
    <row r="234" spans="1:17" s="15" customFormat="1" x14ac:dyDescent="0.3">
      <c r="A234" s="15">
        <v>232</v>
      </c>
      <c r="B234" s="39">
        <v>0</v>
      </c>
      <c r="C234" s="14">
        <v>0</v>
      </c>
      <c r="D234" s="18">
        <v>0</v>
      </c>
      <c r="E234" s="13">
        <v>34</v>
      </c>
      <c r="F234" s="13">
        <v>9</v>
      </c>
      <c r="G234" s="13">
        <v>5.8</v>
      </c>
      <c r="H234" s="15">
        <f>CONVERT(234,"ft","m")*100</f>
        <v>7132.32</v>
      </c>
      <c r="I234" s="13">
        <f t="shared" si="7"/>
        <v>71.3232</v>
      </c>
      <c r="J234" s="13">
        <f>I234*I234</f>
        <v>5086.9988582400001</v>
      </c>
      <c r="K234" s="13">
        <v>67</v>
      </c>
      <c r="L234" s="15">
        <f t="shared" si="6"/>
        <v>1.3170830555912619E-2</v>
      </c>
      <c r="M234" s="16">
        <v>0</v>
      </c>
      <c r="N234" s="16">
        <v>0</v>
      </c>
      <c r="O234" s="22">
        <v>0</v>
      </c>
      <c r="P234" s="22">
        <v>0</v>
      </c>
      <c r="Q234" s="16">
        <v>10</v>
      </c>
    </row>
    <row r="235" spans="1:17" s="15" customFormat="1" x14ac:dyDescent="0.3">
      <c r="A235" s="15">
        <v>233</v>
      </c>
      <c r="B235" s="39">
        <v>0</v>
      </c>
      <c r="C235" s="14">
        <v>1</v>
      </c>
      <c r="D235" s="18">
        <v>0</v>
      </c>
      <c r="E235" s="13">
        <v>59</v>
      </c>
      <c r="F235" s="13">
        <v>1</v>
      </c>
      <c r="G235" s="13">
        <v>5.0999999999999996</v>
      </c>
      <c r="H235" s="15">
        <f>CONVERT(235,"ft","m")*100</f>
        <v>7162.8</v>
      </c>
      <c r="I235" s="13">
        <f t="shared" si="7"/>
        <v>71.628</v>
      </c>
      <c r="J235" s="13">
        <f>I235*I235</f>
        <v>5130.5703839999996</v>
      </c>
      <c r="K235" s="13">
        <v>65</v>
      </c>
      <c r="L235" s="15">
        <f t="shared" si="6"/>
        <v>1.2669156669735301E-2</v>
      </c>
      <c r="M235" s="16">
        <v>0</v>
      </c>
      <c r="N235" s="16">
        <v>0</v>
      </c>
      <c r="O235" s="22">
        <v>0</v>
      </c>
      <c r="P235" s="22">
        <v>0</v>
      </c>
      <c r="Q235" s="16">
        <v>10</v>
      </c>
    </row>
    <row r="236" spans="1:17" s="15" customFormat="1" x14ac:dyDescent="0.3">
      <c r="A236" s="15">
        <v>234</v>
      </c>
      <c r="B236" s="39">
        <v>0</v>
      </c>
      <c r="C236" s="14">
        <v>1</v>
      </c>
      <c r="D236" s="18">
        <v>0</v>
      </c>
      <c r="E236" s="13">
        <v>61</v>
      </c>
      <c r="F236" s="13">
        <v>1</v>
      </c>
      <c r="G236" s="13">
        <v>5.7</v>
      </c>
      <c r="H236" s="15">
        <f>CONVERT(236,"ft","m")*100</f>
        <v>7193.28</v>
      </c>
      <c r="I236" s="13">
        <f t="shared" si="7"/>
        <v>71.9328</v>
      </c>
      <c r="J236" s="13">
        <f>I236*I236</f>
        <v>5174.3277158399997</v>
      </c>
      <c r="K236" s="13">
        <v>59</v>
      </c>
      <c r="L236" s="15">
        <f t="shared" si="6"/>
        <v>1.1402447475328096E-2</v>
      </c>
      <c r="M236" s="16">
        <v>0</v>
      </c>
      <c r="N236" s="16">
        <v>0</v>
      </c>
      <c r="O236" s="22">
        <v>0</v>
      </c>
      <c r="P236" s="22">
        <v>0</v>
      </c>
      <c r="Q236" s="16">
        <v>10</v>
      </c>
    </row>
    <row r="237" spans="1:17" s="15" customFormat="1" x14ac:dyDescent="0.3">
      <c r="A237" s="15">
        <v>235</v>
      </c>
      <c r="B237" s="39">
        <v>0</v>
      </c>
      <c r="C237" s="14">
        <v>2</v>
      </c>
      <c r="D237" s="18">
        <v>0</v>
      </c>
      <c r="E237" s="13">
        <v>66</v>
      </c>
      <c r="F237" s="13">
        <v>1</v>
      </c>
      <c r="G237" s="13">
        <v>5.9</v>
      </c>
      <c r="H237" s="15">
        <f>CONVERT(237,"ft","m")*100</f>
        <v>7223.76</v>
      </c>
      <c r="I237" s="13">
        <f t="shared" si="7"/>
        <v>72.2376</v>
      </c>
      <c r="J237" s="13">
        <f>I237*I237</f>
        <v>5218.2708537600001</v>
      </c>
      <c r="K237" s="13">
        <v>72</v>
      </c>
      <c r="L237" s="15">
        <f t="shared" si="6"/>
        <v>1.3797673983925297E-2</v>
      </c>
      <c r="M237" s="16">
        <v>0</v>
      </c>
      <c r="N237" s="16">
        <v>0</v>
      </c>
      <c r="O237" s="22">
        <v>0</v>
      </c>
      <c r="P237" s="22">
        <v>0</v>
      </c>
      <c r="Q237" s="16">
        <v>10</v>
      </c>
    </row>
    <row r="238" spans="1:17" s="15" customFormat="1" x14ac:dyDescent="0.3">
      <c r="A238" s="15">
        <v>236</v>
      </c>
      <c r="B238" s="39">
        <v>0</v>
      </c>
      <c r="C238" s="14">
        <v>0</v>
      </c>
      <c r="D238" s="18">
        <v>0</v>
      </c>
      <c r="E238" s="13">
        <v>49</v>
      </c>
      <c r="F238" s="13">
        <v>2</v>
      </c>
      <c r="G238" s="13">
        <v>5.7</v>
      </c>
      <c r="H238" s="15">
        <f>CONVERT(238,"ft","m")*100</f>
        <v>7254.24</v>
      </c>
      <c r="I238" s="13">
        <f t="shared" si="7"/>
        <v>72.542400000000001</v>
      </c>
      <c r="J238" s="13">
        <f>I238*I238</f>
        <v>5262.3997977600002</v>
      </c>
      <c r="K238" s="13">
        <v>68</v>
      </c>
      <c r="L238" s="15">
        <f t="shared" si="6"/>
        <v>1.2921861244549486E-2</v>
      </c>
      <c r="M238" s="16">
        <v>0</v>
      </c>
      <c r="N238" s="16">
        <v>0</v>
      </c>
      <c r="O238" s="22">
        <v>0</v>
      </c>
      <c r="P238" s="22">
        <v>0</v>
      </c>
      <c r="Q238" s="16">
        <v>10</v>
      </c>
    </row>
    <row r="239" spans="1:17" s="15" customFormat="1" x14ac:dyDescent="0.3">
      <c r="A239" s="15">
        <v>237</v>
      </c>
      <c r="B239" s="39">
        <v>0</v>
      </c>
      <c r="C239" s="14">
        <v>0</v>
      </c>
      <c r="D239" s="18">
        <v>0</v>
      </c>
      <c r="E239" s="13">
        <v>39</v>
      </c>
      <c r="F239" s="13">
        <v>1</v>
      </c>
      <c r="G239" s="13">
        <v>5.8</v>
      </c>
      <c r="H239" s="15">
        <f>CONVERT(239,"ft","m")*100</f>
        <v>7284.72</v>
      </c>
      <c r="I239" s="13">
        <f t="shared" si="7"/>
        <v>72.847200000000001</v>
      </c>
      <c r="J239" s="13">
        <f>I239*I239</f>
        <v>5306.7145478399998</v>
      </c>
      <c r="K239" s="13">
        <v>64</v>
      </c>
      <c r="L239" s="15">
        <f t="shared" si="6"/>
        <v>1.2060192690418975E-2</v>
      </c>
      <c r="M239" s="16">
        <v>0</v>
      </c>
      <c r="N239" s="16">
        <v>0</v>
      </c>
      <c r="O239" s="22">
        <v>0</v>
      </c>
      <c r="P239" s="22">
        <v>0</v>
      </c>
      <c r="Q239" s="16">
        <v>10</v>
      </c>
    </row>
    <row r="240" spans="1:17" s="15" customFormat="1" x14ac:dyDescent="0.3">
      <c r="A240" s="15">
        <v>238</v>
      </c>
      <c r="B240" s="39">
        <v>0</v>
      </c>
      <c r="C240" s="14">
        <v>1</v>
      </c>
      <c r="D240" s="18">
        <v>0</v>
      </c>
      <c r="E240" s="13">
        <v>47</v>
      </c>
      <c r="F240" s="13">
        <v>1</v>
      </c>
      <c r="G240" s="13">
        <v>5.9</v>
      </c>
      <c r="H240" s="15">
        <f>CONVERT(240,"ft","m")*100</f>
        <v>7315.2</v>
      </c>
      <c r="I240" s="13">
        <f t="shared" si="7"/>
        <v>73.152000000000001</v>
      </c>
      <c r="J240" s="13">
        <f>I240*I240</f>
        <v>5351.2151039999999</v>
      </c>
      <c r="K240" s="13">
        <v>61</v>
      </c>
      <c r="L240" s="15">
        <f t="shared" si="6"/>
        <v>1.1399280128807171E-2</v>
      </c>
      <c r="M240" s="16">
        <v>0</v>
      </c>
      <c r="N240" s="16">
        <v>0</v>
      </c>
      <c r="O240" s="22">
        <v>0</v>
      </c>
      <c r="P240" s="22">
        <v>0</v>
      </c>
      <c r="Q240" s="16">
        <v>10</v>
      </c>
    </row>
    <row r="241" spans="1:17" s="15" customFormat="1" x14ac:dyDescent="0.3">
      <c r="A241" s="15">
        <v>239</v>
      </c>
      <c r="B241" s="39">
        <v>0</v>
      </c>
      <c r="C241" s="14">
        <v>1</v>
      </c>
      <c r="D241" s="18">
        <v>0</v>
      </c>
      <c r="E241" s="17">
        <v>43</v>
      </c>
      <c r="F241" s="13">
        <v>1</v>
      </c>
      <c r="G241" s="13">
        <v>5.0999999999999996</v>
      </c>
      <c r="H241" s="15">
        <f>CONVERT(241,"ft","m")*100</f>
        <v>7345.68</v>
      </c>
      <c r="I241" s="13">
        <f t="shared" si="7"/>
        <v>73.456800000000001</v>
      </c>
      <c r="J241" s="13">
        <f>I241*I241</f>
        <v>5395.9014662400004</v>
      </c>
      <c r="K241" s="13">
        <v>69</v>
      </c>
      <c r="L241" s="15">
        <f t="shared" si="6"/>
        <v>1.2787483320758438E-2</v>
      </c>
      <c r="M241" s="16">
        <v>0</v>
      </c>
      <c r="N241" s="16">
        <v>0</v>
      </c>
      <c r="O241" s="22">
        <v>0</v>
      </c>
      <c r="P241" s="22">
        <v>0</v>
      </c>
      <c r="Q241" s="16">
        <v>10</v>
      </c>
    </row>
    <row r="242" spans="1:17" s="15" customFormat="1" x14ac:dyDescent="0.3">
      <c r="A242" s="15">
        <v>240</v>
      </c>
      <c r="B242" s="39">
        <v>0</v>
      </c>
      <c r="C242" s="14">
        <v>0</v>
      </c>
      <c r="D242" s="18">
        <v>0</v>
      </c>
      <c r="E242" s="13">
        <v>61</v>
      </c>
      <c r="F242" s="13">
        <v>1</v>
      </c>
      <c r="G242" s="13">
        <v>5.1100000000000003</v>
      </c>
      <c r="H242" s="15">
        <f>CONVERT(242,"ft","m")*100</f>
        <v>7376.16</v>
      </c>
      <c r="I242" s="13">
        <f t="shared" si="7"/>
        <v>73.761600000000001</v>
      </c>
      <c r="J242" s="13">
        <f>I242*I242</f>
        <v>5440.7736345600006</v>
      </c>
      <c r="K242" s="13">
        <v>77</v>
      </c>
      <c r="L242" s="15">
        <f t="shared" si="6"/>
        <v>1.4152399120392196E-2</v>
      </c>
      <c r="M242" s="16">
        <v>0</v>
      </c>
      <c r="N242" s="16">
        <v>0</v>
      </c>
      <c r="O242" s="22">
        <v>0</v>
      </c>
      <c r="P242" s="22">
        <v>0</v>
      </c>
      <c r="Q242" s="16">
        <v>10</v>
      </c>
    </row>
    <row r="243" spans="1:17" s="15" customFormat="1" x14ac:dyDescent="0.3">
      <c r="A243" s="15">
        <v>241</v>
      </c>
      <c r="B243" s="39">
        <v>0</v>
      </c>
      <c r="C243" s="14">
        <v>0</v>
      </c>
      <c r="D243" s="18">
        <v>0</v>
      </c>
      <c r="E243" s="13">
        <v>54</v>
      </c>
      <c r="F243" s="13">
        <v>9</v>
      </c>
      <c r="G243" s="13">
        <v>5.7</v>
      </c>
      <c r="H243" s="15">
        <f>CONVERT(243,"ft","m")*100</f>
        <v>7406.64</v>
      </c>
      <c r="I243" s="13">
        <f t="shared" si="7"/>
        <v>74.066400000000002</v>
      </c>
      <c r="J243" s="13">
        <f>I243*I243</f>
        <v>5485.8316089600003</v>
      </c>
      <c r="K243" s="13">
        <v>72</v>
      </c>
      <c r="L243" s="15">
        <f t="shared" si="6"/>
        <v>1.3124719300972074E-2</v>
      </c>
      <c r="M243" s="16">
        <v>1</v>
      </c>
      <c r="N243" s="16">
        <v>0</v>
      </c>
      <c r="O243" s="22">
        <v>0</v>
      </c>
      <c r="P243" s="22">
        <v>0</v>
      </c>
      <c r="Q243" s="16">
        <v>10</v>
      </c>
    </row>
    <row r="244" spans="1:17" s="15" customFormat="1" x14ac:dyDescent="0.3">
      <c r="A244" s="15">
        <v>242</v>
      </c>
      <c r="B244" s="39">
        <v>0</v>
      </c>
      <c r="C244" s="14">
        <v>1</v>
      </c>
      <c r="D244" s="18">
        <v>0</v>
      </c>
      <c r="E244" s="13">
        <v>36</v>
      </c>
      <c r="F244" s="13">
        <v>1</v>
      </c>
      <c r="G244" s="13">
        <v>5.9</v>
      </c>
      <c r="H244" s="15">
        <f>CONVERT(244,"ft","m")*100</f>
        <v>7437.12</v>
      </c>
      <c r="I244" s="13">
        <f t="shared" si="7"/>
        <v>74.371200000000002</v>
      </c>
      <c r="J244" s="13">
        <f>I244*I244</f>
        <v>5531.0753894400004</v>
      </c>
      <c r="K244" s="13">
        <v>69</v>
      </c>
      <c r="L244" s="15">
        <f t="shared" si="6"/>
        <v>1.2474970081177284E-2</v>
      </c>
      <c r="M244" s="16">
        <v>0</v>
      </c>
      <c r="N244" s="16">
        <v>0</v>
      </c>
      <c r="O244" s="22">
        <v>0</v>
      </c>
      <c r="P244" s="22">
        <v>0</v>
      </c>
      <c r="Q244" s="16">
        <v>10</v>
      </c>
    </row>
    <row r="245" spans="1:17" s="15" customFormat="1" x14ac:dyDescent="0.3">
      <c r="A245" s="15">
        <v>243</v>
      </c>
      <c r="B245" s="39">
        <v>0</v>
      </c>
      <c r="C245" s="14">
        <v>1</v>
      </c>
      <c r="D245" s="18">
        <v>0</v>
      </c>
      <c r="E245" s="13">
        <v>46</v>
      </c>
      <c r="F245" s="13">
        <v>1</v>
      </c>
      <c r="G245" s="13">
        <v>5.1100000000000003</v>
      </c>
      <c r="H245" s="15">
        <f>CONVERT(245,"ft","m")*100</f>
        <v>7467.6</v>
      </c>
      <c r="I245" s="13">
        <f t="shared" si="7"/>
        <v>74.676000000000002</v>
      </c>
      <c r="J245" s="13">
        <f>I245*I245</f>
        <v>5576.5049760000002</v>
      </c>
      <c r="K245" s="13">
        <v>54</v>
      </c>
      <c r="L245" s="15">
        <f t="shared" si="6"/>
        <v>9.6834845897930035E-3</v>
      </c>
      <c r="M245" s="16">
        <v>0</v>
      </c>
      <c r="N245" s="16">
        <v>0</v>
      </c>
      <c r="O245" s="22">
        <v>0</v>
      </c>
      <c r="P245" s="22">
        <v>0</v>
      </c>
      <c r="Q245" s="16">
        <v>10</v>
      </c>
    </row>
    <row r="246" spans="1:17" s="15" customFormat="1" x14ac:dyDescent="0.3">
      <c r="A246" s="15">
        <v>244</v>
      </c>
      <c r="B246" s="39">
        <v>0</v>
      </c>
      <c r="C246" s="14">
        <v>1</v>
      </c>
      <c r="D246" s="18">
        <v>0</v>
      </c>
      <c r="E246" s="13">
        <v>63</v>
      </c>
      <c r="F246" s="13">
        <v>1</v>
      </c>
      <c r="G246" s="13">
        <v>5.6</v>
      </c>
      <c r="H246" s="15">
        <f>CONVERT(246,"ft","m")*100</f>
        <v>7498.08</v>
      </c>
      <c r="I246" s="13">
        <f t="shared" si="7"/>
        <v>74.980800000000002</v>
      </c>
      <c r="J246" s="13">
        <f>I246*I246</f>
        <v>5622.1203686400004</v>
      </c>
      <c r="K246" s="13">
        <v>59</v>
      </c>
      <c r="L246" s="15">
        <f t="shared" si="6"/>
        <v>1.0494261262903589E-2</v>
      </c>
      <c r="M246" s="16">
        <v>0</v>
      </c>
      <c r="N246" s="16">
        <v>0</v>
      </c>
      <c r="O246" s="22">
        <v>0</v>
      </c>
      <c r="P246" s="22">
        <v>0</v>
      </c>
      <c r="Q246" s="16">
        <v>10</v>
      </c>
    </row>
    <row r="247" spans="1:17" s="15" customFormat="1" x14ac:dyDescent="0.3">
      <c r="A247" s="15">
        <v>245</v>
      </c>
      <c r="B247" s="39">
        <v>0</v>
      </c>
      <c r="C247" s="14">
        <v>1</v>
      </c>
      <c r="D247" s="18">
        <v>0</v>
      </c>
      <c r="E247" s="13">
        <v>67</v>
      </c>
      <c r="F247" s="13">
        <v>1</v>
      </c>
      <c r="G247" s="13">
        <v>5.0999999999999996</v>
      </c>
      <c r="H247" s="15">
        <f>CONVERT(247,"ft","m")*100</f>
        <v>7528.56</v>
      </c>
      <c r="I247" s="13">
        <f t="shared" si="7"/>
        <v>75.285600000000002</v>
      </c>
      <c r="J247" s="13">
        <f>I247*I247</f>
        <v>5667.9215673600002</v>
      </c>
      <c r="K247" s="13">
        <v>52</v>
      </c>
      <c r="L247" s="15">
        <f t="shared" si="6"/>
        <v>9.1744388806390131E-3</v>
      </c>
      <c r="M247" s="16">
        <v>1</v>
      </c>
      <c r="N247" s="16">
        <v>0</v>
      </c>
      <c r="O247" s="22">
        <v>0</v>
      </c>
      <c r="P247" s="22">
        <v>0</v>
      </c>
      <c r="Q247" s="16">
        <v>10</v>
      </c>
    </row>
    <row r="248" spans="1:17" s="15" customFormat="1" x14ac:dyDescent="0.3">
      <c r="A248" s="15">
        <v>246</v>
      </c>
      <c r="B248" s="39">
        <v>0</v>
      </c>
      <c r="C248" s="14">
        <v>0</v>
      </c>
      <c r="D248" s="18">
        <v>0</v>
      </c>
      <c r="E248" s="13">
        <v>54</v>
      </c>
      <c r="F248" s="13">
        <v>1</v>
      </c>
      <c r="G248" s="13">
        <v>5.9</v>
      </c>
      <c r="H248" s="15">
        <f>CONVERT(248,"ft","m")*100</f>
        <v>7559.04</v>
      </c>
      <c r="I248" s="13">
        <f t="shared" si="7"/>
        <v>75.590400000000002</v>
      </c>
      <c r="J248" s="13">
        <f>I248*I248</f>
        <v>5713.9085721600004</v>
      </c>
      <c r="K248" s="13">
        <v>57</v>
      </c>
      <c r="L248" s="15">
        <f t="shared" si="6"/>
        <v>9.9756583921769993E-3</v>
      </c>
      <c r="M248" s="16">
        <v>0</v>
      </c>
      <c r="N248" s="16">
        <v>0</v>
      </c>
      <c r="O248" s="22">
        <v>0</v>
      </c>
      <c r="P248" s="22">
        <v>0</v>
      </c>
      <c r="Q248" s="16">
        <v>10</v>
      </c>
    </row>
    <row r="249" spans="1:17" s="15" customFormat="1" x14ac:dyDescent="0.3">
      <c r="A249" s="15">
        <v>247</v>
      </c>
      <c r="B249" s="39">
        <v>0</v>
      </c>
      <c r="C249" s="14">
        <v>0</v>
      </c>
      <c r="D249" s="18">
        <v>0</v>
      </c>
      <c r="E249" s="13">
        <v>39</v>
      </c>
      <c r="F249" s="13">
        <v>9</v>
      </c>
      <c r="G249" s="13">
        <v>6.2</v>
      </c>
      <c r="H249" s="15">
        <f>CONVERT(249,"ft","m")*100</f>
        <v>7589.52</v>
      </c>
      <c r="I249" s="13">
        <f t="shared" si="7"/>
        <v>75.895200000000003</v>
      </c>
      <c r="J249" s="13">
        <f>I249*I249</f>
        <v>5760.0813830400002</v>
      </c>
      <c r="K249" s="13">
        <v>60</v>
      </c>
      <c r="L249" s="15">
        <f t="shared" si="6"/>
        <v>1.0416519491662769E-2</v>
      </c>
      <c r="M249" s="16">
        <v>0</v>
      </c>
      <c r="N249" s="16">
        <v>0</v>
      </c>
      <c r="O249" s="22">
        <v>0</v>
      </c>
      <c r="P249" s="22">
        <v>0</v>
      </c>
      <c r="Q249" s="16">
        <v>10</v>
      </c>
    </row>
    <row r="250" spans="1:17" s="15" customFormat="1" x14ac:dyDescent="0.3">
      <c r="A250" s="15">
        <v>248</v>
      </c>
      <c r="B250" s="39">
        <v>0</v>
      </c>
      <c r="C250" s="14">
        <v>1</v>
      </c>
      <c r="D250" s="18">
        <v>0</v>
      </c>
      <c r="E250" s="13">
        <v>41</v>
      </c>
      <c r="F250" s="13">
        <v>1</v>
      </c>
      <c r="G250" s="13">
        <v>5.9</v>
      </c>
      <c r="H250" s="15">
        <f>CONVERT(250,"ft","m")*100</f>
        <v>7620</v>
      </c>
      <c r="I250" s="13">
        <f t="shared" si="7"/>
        <v>76.2</v>
      </c>
      <c r="J250" s="13">
        <f>I250*I250</f>
        <v>5806.4400000000005</v>
      </c>
      <c r="K250" s="13">
        <v>60</v>
      </c>
      <c r="L250" s="15">
        <f t="shared" si="6"/>
        <v>1.0333354000041333E-2</v>
      </c>
      <c r="M250" s="16">
        <v>0</v>
      </c>
      <c r="N250" s="16">
        <v>0</v>
      </c>
      <c r="O250" s="22">
        <v>0</v>
      </c>
      <c r="P250" s="22">
        <v>0</v>
      </c>
      <c r="Q250" s="16">
        <v>10</v>
      </c>
    </row>
    <row r="251" spans="1:17" s="15" customFormat="1" x14ac:dyDescent="0.3">
      <c r="A251" s="15">
        <v>249</v>
      </c>
      <c r="B251" s="39">
        <v>0</v>
      </c>
      <c r="C251" s="14">
        <v>1</v>
      </c>
      <c r="D251" s="18">
        <v>0</v>
      </c>
      <c r="E251" s="13">
        <v>56</v>
      </c>
      <c r="F251" s="13">
        <v>9</v>
      </c>
      <c r="G251" s="13">
        <v>5.0999999999999996</v>
      </c>
      <c r="H251" s="15">
        <f>CONVERT(251,"ft","m")*100</f>
        <v>7650.4800000000005</v>
      </c>
      <c r="I251" s="13">
        <f t="shared" si="7"/>
        <v>76.504800000000003</v>
      </c>
      <c r="J251" s="13">
        <f>I251*I251</f>
        <v>5852.9844230400004</v>
      </c>
      <c r="K251" s="13">
        <v>61</v>
      </c>
      <c r="L251" s="15">
        <f t="shared" si="6"/>
        <v>1.0422033545805511E-2</v>
      </c>
      <c r="M251" s="16">
        <v>1</v>
      </c>
      <c r="N251" s="16">
        <v>0</v>
      </c>
      <c r="O251" s="22">
        <v>0</v>
      </c>
      <c r="P251" s="22">
        <v>0</v>
      </c>
      <c r="Q251" s="16">
        <v>10</v>
      </c>
    </row>
    <row r="252" spans="1:17" s="15" customFormat="1" x14ac:dyDescent="0.3">
      <c r="A252" s="15">
        <v>250</v>
      </c>
      <c r="B252" s="39">
        <v>0</v>
      </c>
      <c r="C252" s="14">
        <v>0</v>
      </c>
      <c r="D252" s="18">
        <v>0</v>
      </c>
      <c r="E252" s="13">
        <v>43</v>
      </c>
      <c r="F252" s="13">
        <v>9</v>
      </c>
      <c r="G252" s="13">
        <v>5.1100000000000003</v>
      </c>
      <c r="H252" s="15">
        <f>CONVERT(252,"ft","m")*100</f>
        <v>7680.96</v>
      </c>
      <c r="I252" s="13">
        <f t="shared" si="7"/>
        <v>76.809600000000003</v>
      </c>
      <c r="J252" s="13">
        <f>I252*I252</f>
        <v>5899.7146521600007</v>
      </c>
      <c r="K252" s="13">
        <v>60</v>
      </c>
      <c r="L252" s="15">
        <f t="shared" si="6"/>
        <v>1.0169983386913946E-2</v>
      </c>
      <c r="M252" s="16">
        <v>0</v>
      </c>
      <c r="N252" s="16">
        <v>0</v>
      </c>
      <c r="O252" s="22">
        <v>0</v>
      </c>
      <c r="P252" s="22">
        <v>0</v>
      </c>
      <c r="Q252" s="16">
        <v>10</v>
      </c>
    </row>
    <row r="253" spans="1:17" s="15" customFormat="1" x14ac:dyDescent="0.3">
      <c r="A253" s="15">
        <v>251</v>
      </c>
      <c r="B253" s="39">
        <v>0</v>
      </c>
      <c r="C253" s="14">
        <v>0</v>
      </c>
      <c r="D253" s="18">
        <v>0</v>
      </c>
      <c r="E253" s="13">
        <v>36</v>
      </c>
      <c r="F253" s="13">
        <v>9</v>
      </c>
      <c r="G253" s="13">
        <v>6.2</v>
      </c>
      <c r="H253" s="15">
        <f>CONVERT(253,"ft","m")*100</f>
        <v>7711.4400000000005</v>
      </c>
      <c r="I253" s="13">
        <f t="shared" si="7"/>
        <v>77.114400000000003</v>
      </c>
      <c r="J253" s="13">
        <f>I253*I253</f>
        <v>5946.6306873600006</v>
      </c>
      <c r="K253" s="13">
        <v>65</v>
      </c>
      <c r="L253" s="15">
        <f t="shared" si="6"/>
        <v>1.0930559407054194E-2</v>
      </c>
      <c r="M253" s="16">
        <v>0</v>
      </c>
      <c r="N253" s="16">
        <v>0</v>
      </c>
      <c r="O253" s="22">
        <v>0</v>
      </c>
      <c r="P253" s="22">
        <v>0</v>
      </c>
      <c r="Q253" s="16">
        <v>10</v>
      </c>
    </row>
    <row r="254" spans="1:17" s="15" customFormat="1" x14ac:dyDescent="0.3">
      <c r="A254" s="15">
        <v>252</v>
      </c>
      <c r="B254" s="39">
        <v>0</v>
      </c>
      <c r="C254" s="14">
        <v>1</v>
      </c>
      <c r="D254" s="18">
        <v>0</v>
      </c>
      <c r="E254" s="13">
        <v>65</v>
      </c>
      <c r="F254" s="13">
        <v>9</v>
      </c>
      <c r="G254" s="13">
        <v>6.2</v>
      </c>
      <c r="H254" s="15">
        <f>CONVERT(254,"ft","m")*100</f>
        <v>7741.92</v>
      </c>
      <c r="I254" s="13">
        <f t="shared" si="7"/>
        <v>77.419200000000004</v>
      </c>
      <c r="J254" s="13">
        <f>I254*I254</f>
        <v>5993.732528640001</v>
      </c>
      <c r="K254" s="13">
        <v>59</v>
      </c>
      <c r="L254" s="15">
        <f t="shared" si="6"/>
        <v>9.8436157633125659E-3</v>
      </c>
      <c r="M254" s="16">
        <v>0</v>
      </c>
      <c r="N254" s="16">
        <v>0</v>
      </c>
      <c r="O254" s="22">
        <v>0</v>
      </c>
      <c r="P254" s="22">
        <v>0</v>
      </c>
      <c r="Q254" s="16">
        <v>10</v>
      </c>
    </row>
    <row r="255" spans="1:17" s="15" customFormat="1" x14ac:dyDescent="0.3">
      <c r="A255" s="15">
        <v>253</v>
      </c>
      <c r="B255" s="39">
        <v>0</v>
      </c>
      <c r="C255" s="14">
        <v>0</v>
      </c>
      <c r="D255" s="18">
        <v>0</v>
      </c>
      <c r="E255" s="13">
        <v>54</v>
      </c>
      <c r="F255" s="13">
        <v>9</v>
      </c>
      <c r="G255" s="13">
        <v>5.9</v>
      </c>
      <c r="H255" s="15">
        <f>CONVERT(255,"ft","m")*100</f>
        <v>7772.4000000000005</v>
      </c>
      <c r="I255" s="13">
        <f t="shared" si="7"/>
        <v>77.724000000000004</v>
      </c>
      <c r="J255" s="13">
        <f>I255*I255</f>
        <v>6041.0201760000009</v>
      </c>
      <c r="K255" s="13">
        <v>72</v>
      </c>
      <c r="L255" s="15">
        <f t="shared" si="6"/>
        <v>1.1918516724384466E-2</v>
      </c>
      <c r="M255" s="16">
        <v>1</v>
      </c>
      <c r="N255" s="16">
        <v>0</v>
      </c>
      <c r="O255" s="22">
        <v>0</v>
      </c>
      <c r="P255" s="22">
        <v>0</v>
      </c>
      <c r="Q255" s="16">
        <v>10</v>
      </c>
    </row>
    <row r="256" spans="1:17" s="15" customFormat="1" x14ac:dyDescent="0.3">
      <c r="A256" s="15">
        <v>254</v>
      </c>
      <c r="B256" s="39">
        <v>0</v>
      </c>
      <c r="C256" s="14">
        <v>1</v>
      </c>
      <c r="D256" s="18">
        <v>0</v>
      </c>
      <c r="E256" s="13">
        <v>66</v>
      </c>
      <c r="F256" s="13">
        <v>1</v>
      </c>
      <c r="G256" s="13">
        <v>5.0999999999999996</v>
      </c>
      <c r="H256" s="15">
        <f>CONVERT(256,"ft","m")*100</f>
        <v>7802.88</v>
      </c>
      <c r="I256" s="13">
        <f t="shared" si="7"/>
        <v>78.028800000000004</v>
      </c>
      <c r="J256" s="13">
        <f>I256*I256</f>
        <v>6088.4936294400004</v>
      </c>
      <c r="K256" s="13">
        <v>68</v>
      </c>
      <c r="L256" s="15">
        <f t="shared" si="6"/>
        <v>1.1168608220462967E-2</v>
      </c>
      <c r="M256" s="16">
        <v>0</v>
      </c>
      <c r="N256" s="16">
        <v>2</v>
      </c>
      <c r="O256" s="22">
        <v>0</v>
      </c>
      <c r="P256" s="22">
        <v>0</v>
      </c>
      <c r="Q256" s="16">
        <v>10</v>
      </c>
    </row>
    <row r="257" spans="1:17" s="15" customFormat="1" x14ac:dyDescent="0.3">
      <c r="A257" s="15">
        <v>255</v>
      </c>
      <c r="B257" s="39">
        <v>0</v>
      </c>
      <c r="C257" s="14">
        <v>1</v>
      </c>
      <c r="D257" s="18">
        <v>0</v>
      </c>
      <c r="E257" s="13">
        <v>49</v>
      </c>
      <c r="F257" s="13">
        <v>1</v>
      </c>
      <c r="G257" s="13">
        <v>5.1100000000000003</v>
      </c>
      <c r="H257" s="15">
        <f>CONVERT(257,"ft","m")*100</f>
        <v>7833.3600000000006</v>
      </c>
      <c r="I257" s="13">
        <f t="shared" si="7"/>
        <v>78.333600000000004</v>
      </c>
      <c r="J257" s="13">
        <f>I257*I257</f>
        <v>6136.1528889600004</v>
      </c>
      <c r="K257" s="13">
        <v>72</v>
      </c>
      <c r="L257" s="15">
        <f t="shared" si="6"/>
        <v>1.1733736317023725E-2</v>
      </c>
      <c r="M257" s="16">
        <v>0</v>
      </c>
      <c r="N257" s="16">
        <v>0</v>
      </c>
      <c r="O257" s="22">
        <v>0</v>
      </c>
      <c r="P257" s="22">
        <v>0</v>
      </c>
      <c r="Q257" s="16">
        <v>10</v>
      </c>
    </row>
    <row r="258" spans="1:17" s="15" customFormat="1" x14ac:dyDescent="0.3">
      <c r="A258" s="15">
        <v>256</v>
      </c>
      <c r="B258" s="39">
        <v>0</v>
      </c>
      <c r="C258" s="14">
        <v>0</v>
      </c>
      <c r="D258" s="18">
        <v>0</v>
      </c>
      <c r="E258" s="13">
        <v>64</v>
      </c>
      <c r="F258" s="13">
        <v>9</v>
      </c>
      <c r="G258" s="13">
        <v>5.0999999999999996</v>
      </c>
      <c r="H258" s="15">
        <f>CONVERT(258,"ft","m")*100</f>
        <v>7863.84</v>
      </c>
      <c r="I258" s="13">
        <f t="shared" si="7"/>
        <v>78.638400000000004</v>
      </c>
      <c r="J258" s="13">
        <f>I258*I258</f>
        <v>6183.9979545600008</v>
      </c>
      <c r="K258" s="13">
        <v>69</v>
      </c>
      <c r="L258" s="15">
        <f t="shared" ref="L258:L321" si="8">K258/J258</f>
        <v>1.1157830340018189E-2</v>
      </c>
      <c r="M258" s="16">
        <v>0</v>
      </c>
      <c r="N258" s="16">
        <v>0</v>
      </c>
      <c r="O258" s="22">
        <v>0</v>
      </c>
      <c r="P258" s="22">
        <v>0</v>
      </c>
      <c r="Q258" s="16">
        <v>10</v>
      </c>
    </row>
    <row r="259" spans="1:17" s="15" customFormat="1" x14ac:dyDescent="0.3">
      <c r="A259" s="15">
        <v>257</v>
      </c>
      <c r="B259" s="39">
        <v>0</v>
      </c>
      <c r="C259" s="14">
        <v>1</v>
      </c>
      <c r="D259" s="18">
        <v>0</v>
      </c>
      <c r="E259" s="13">
        <v>58</v>
      </c>
      <c r="F259" s="13">
        <v>1</v>
      </c>
      <c r="G259" s="13">
        <v>5.1100000000000003</v>
      </c>
      <c r="H259" s="15">
        <f>CONVERT(259,"ft","m")*100</f>
        <v>7894.3200000000006</v>
      </c>
      <c r="I259" s="13">
        <f t="shared" si="7"/>
        <v>78.943200000000004</v>
      </c>
      <c r="J259" s="13">
        <f>I259*I259</f>
        <v>6232.0288262400009</v>
      </c>
      <c r="K259" s="13">
        <v>67</v>
      </c>
      <c r="L259" s="15">
        <f t="shared" si="8"/>
        <v>1.0750913044223421E-2</v>
      </c>
      <c r="M259" s="16">
        <v>0</v>
      </c>
      <c r="N259" s="16">
        <v>2</v>
      </c>
      <c r="O259" s="22">
        <v>0</v>
      </c>
      <c r="P259" s="22">
        <v>0</v>
      </c>
      <c r="Q259" s="16">
        <v>10</v>
      </c>
    </row>
    <row r="260" spans="1:17" s="15" customFormat="1" x14ac:dyDescent="0.3">
      <c r="A260" s="15">
        <v>258</v>
      </c>
      <c r="B260" s="39">
        <v>0</v>
      </c>
      <c r="C260" s="14">
        <v>0</v>
      </c>
      <c r="D260" s="18">
        <v>0</v>
      </c>
      <c r="E260" s="13">
        <v>61</v>
      </c>
      <c r="F260" s="13">
        <v>9</v>
      </c>
      <c r="G260" s="13">
        <v>5.7</v>
      </c>
      <c r="H260" s="15">
        <f>CONVERT(260,"ft","m")*100</f>
        <v>7924.8</v>
      </c>
      <c r="I260" s="13">
        <f t="shared" ref="I260:I321" si="9">H260/100</f>
        <v>79.248000000000005</v>
      </c>
      <c r="J260" s="13">
        <f>I260*I260</f>
        <v>6280.2455040000004</v>
      </c>
      <c r="K260" s="13">
        <v>65</v>
      </c>
      <c r="L260" s="15">
        <f t="shared" si="8"/>
        <v>1.0349913862220885E-2</v>
      </c>
      <c r="M260" s="16">
        <v>1</v>
      </c>
      <c r="N260" s="16">
        <v>0</v>
      </c>
      <c r="O260" s="22">
        <v>0</v>
      </c>
      <c r="P260" s="22">
        <v>0</v>
      </c>
      <c r="Q260" s="16">
        <v>10</v>
      </c>
    </row>
    <row r="261" spans="1:17" s="15" customFormat="1" x14ac:dyDescent="0.3">
      <c r="A261" s="15">
        <v>259</v>
      </c>
      <c r="B261" s="39">
        <v>0</v>
      </c>
      <c r="C261" s="14">
        <v>1</v>
      </c>
      <c r="D261" s="18">
        <v>0</v>
      </c>
      <c r="E261" s="13">
        <v>59</v>
      </c>
      <c r="F261" s="13">
        <v>1</v>
      </c>
      <c r="G261" s="13">
        <v>5.9</v>
      </c>
      <c r="H261" s="15">
        <f>CONVERT(261,"ft","m")*100</f>
        <v>7955.2800000000007</v>
      </c>
      <c r="I261" s="13">
        <f t="shared" si="9"/>
        <v>79.552800000000005</v>
      </c>
      <c r="J261" s="13">
        <f>I261*I261</f>
        <v>6328.6479878400005</v>
      </c>
      <c r="K261" s="13">
        <v>59</v>
      </c>
      <c r="L261" s="15">
        <f t="shared" si="8"/>
        <v>9.3226863167873864E-3</v>
      </c>
      <c r="M261" s="16">
        <v>0</v>
      </c>
      <c r="N261" s="16">
        <v>2</v>
      </c>
      <c r="O261" s="22">
        <v>0</v>
      </c>
      <c r="P261" s="22">
        <v>0</v>
      </c>
      <c r="Q261" s="16">
        <v>10</v>
      </c>
    </row>
    <row r="262" spans="1:17" s="15" customFormat="1" x14ac:dyDescent="0.3">
      <c r="A262" s="15">
        <v>260</v>
      </c>
      <c r="B262" s="39">
        <v>0</v>
      </c>
      <c r="C262" s="14">
        <v>1</v>
      </c>
      <c r="D262" s="18">
        <v>0</v>
      </c>
      <c r="E262" s="13">
        <v>44</v>
      </c>
      <c r="F262" s="13">
        <v>1</v>
      </c>
      <c r="G262" s="13">
        <v>5.1100000000000003</v>
      </c>
      <c r="H262" s="15">
        <f>CONVERT(262,"ft","m")*100</f>
        <v>7985.76</v>
      </c>
      <c r="I262" s="13">
        <f t="shared" si="9"/>
        <v>79.857600000000005</v>
      </c>
      <c r="J262" s="13">
        <f>I262*I262</f>
        <v>6377.236277760001</v>
      </c>
      <c r="K262" s="13">
        <v>72</v>
      </c>
      <c r="L262" s="15">
        <f t="shared" si="8"/>
        <v>1.1290157187854727E-2</v>
      </c>
      <c r="M262" s="16">
        <v>0</v>
      </c>
      <c r="N262" s="16">
        <v>0</v>
      </c>
      <c r="O262" s="22">
        <v>0</v>
      </c>
      <c r="P262" s="22">
        <v>0</v>
      </c>
      <c r="Q262" s="16">
        <v>10</v>
      </c>
    </row>
    <row r="263" spans="1:17" s="15" customFormat="1" x14ac:dyDescent="0.3">
      <c r="A263" s="15">
        <v>261</v>
      </c>
      <c r="B263" s="39">
        <v>0</v>
      </c>
      <c r="C263" s="14">
        <v>1</v>
      </c>
      <c r="D263" s="18">
        <v>0</v>
      </c>
      <c r="E263" s="13">
        <v>38</v>
      </c>
      <c r="F263" s="13">
        <v>1</v>
      </c>
      <c r="G263" s="13">
        <v>5.9</v>
      </c>
      <c r="H263" s="15">
        <f>CONVERT(263,"ft","m")*100</f>
        <v>8016.2400000000007</v>
      </c>
      <c r="I263" s="13">
        <f t="shared" si="9"/>
        <v>80.162400000000005</v>
      </c>
      <c r="J263" s="13">
        <f>I263*I263</f>
        <v>6426.0103737600011</v>
      </c>
      <c r="K263" s="13">
        <v>68</v>
      </c>
      <c r="L263" s="15">
        <f t="shared" si="8"/>
        <v>1.0581993499056818E-2</v>
      </c>
      <c r="M263" s="16">
        <v>1</v>
      </c>
      <c r="N263" s="16">
        <v>0</v>
      </c>
      <c r="O263" s="22">
        <v>0</v>
      </c>
      <c r="P263" s="22">
        <v>0</v>
      </c>
      <c r="Q263" s="16">
        <v>10</v>
      </c>
    </row>
    <row r="264" spans="1:17" s="15" customFormat="1" x14ac:dyDescent="0.3">
      <c r="A264" s="15">
        <v>262</v>
      </c>
      <c r="B264" s="39">
        <v>0</v>
      </c>
      <c r="C264" s="14">
        <v>1</v>
      </c>
      <c r="D264" s="18">
        <v>0</v>
      </c>
      <c r="E264" s="13">
        <v>41</v>
      </c>
      <c r="F264" s="13">
        <v>1</v>
      </c>
      <c r="G264" s="13">
        <v>5.0999999999999996</v>
      </c>
      <c r="H264" s="15">
        <f>CONVERT(264,"ft","m")*100</f>
        <v>8046.72</v>
      </c>
      <c r="I264" s="13">
        <f t="shared" si="9"/>
        <v>80.467200000000005</v>
      </c>
      <c r="J264" s="13">
        <f>I264*I264</f>
        <v>6474.9702758400008</v>
      </c>
      <c r="K264" s="13">
        <v>64</v>
      </c>
      <c r="L264" s="15">
        <f t="shared" si="8"/>
        <v>9.8842152586866121E-3</v>
      </c>
      <c r="M264" s="16">
        <v>1</v>
      </c>
      <c r="N264" s="16">
        <v>2</v>
      </c>
      <c r="O264" s="22">
        <v>0</v>
      </c>
      <c r="P264" s="22">
        <v>0</v>
      </c>
      <c r="Q264" s="16">
        <v>10</v>
      </c>
    </row>
    <row r="265" spans="1:17" s="15" customFormat="1" x14ac:dyDescent="0.3">
      <c r="A265" s="15">
        <v>263</v>
      </c>
      <c r="B265" s="39">
        <v>0</v>
      </c>
      <c r="C265" s="14">
        <v>1</v>
      </c>
      <c r="D265" s="18">
        <v>0</v>
      </c>
      <c r="E265" s="13">
        <v>57</v>
      </c>
      <c r="F265" s="13">
        <v>1</v>
      </c>
      <c r="G265" s="13">
        <v>5.1100000000000003</v>
      </c>
      <c r="H265" s="15">
        <f>CONVERT(265,"ft","m")*100</f>
        <v>8077.2000000000007</v>
      </c>
      <c r="I265" s="13">
        <f t="shared" si="9"/>
        <v>80.772000000000006</v>
      </c>
      <c r="J265" s="13">
        <f>I265*I265</f>
        <v>6524.1159840000009</v>
      </c>
      <c r="K265" s="13">
        <v>61</v>
      </c>
      <c r="L265" s="15">
        <f t="shared" si="8"/>
        <v>9.3499257446677531E-3</v>
      </c>
      <c r="M265" s="16">
        <v>1</v>
      </c>
      <c r="N265" s="16">
        <v>2</v>
      </c>
      <c r="O265" s="22">
        <v>0</v>
      </c>
      <c r="P265" s="22">
        <v>0</v>
      </c>
      <c r="Q265" s="16">
        <v>10</v>
      </c>
    </row>
    <row r="266" spans="1:17" s="15" customFormat="1" x14ac:dyDescent="0.3">
      <c r="A266" s="15">
        <v>264</v>
      </c>
      <c r="B266" s="39">
        <v>0</v>
      </c>
      <c r="C266" s="14">
        <v>1</v>
      </c>
      <c r="D266" s="18">
        <v>0</v>
      </c>
      <c r="E266" s="13">
        <v>51</v>
      </c>
      <c r="F266" s="13">
        <v>1</v>
      </c>
      <c r="G266" s="13">
        <v>5.7</v>
      </c>
      <c r="H266" s="15">
        <f>CONVERT(266,"ft","m")*100</f>
        <v>8107.68</v>
      </c>
      <c r="I266" s="13">
        <f t="shared" si="9"/>
        <v>81.076800000000006</v>
      </c>
      <c r="J266" s="13">
        <f>I266*I266</f>
        <v>6573.4474982400006</v>
      </c>
      <c r="K266" s="13">
        <v>69</v>
      </c>
      <c r="L266" s="15">
        <f t="shared" si="8"/>
        <v>1.0496775096853563E-2</v>
      </c>
      <c r="M266" s="16">
        <v>1</v>
      </c>
      <c r="N266" s="16">
        <v>2</v>
      </c>
      <c r="O266" s="22">
        <v>0</v>
      </c>
      <c r="P266" s="22">
        <v>0</v>
      </c>
      <c r="Q266" s="16">
        <v>10</v>
      </c>
    </row>
    <row r="267" spans="1:17" s="15" customFormat="1" x14ac:dyDescent="0.3">
      <c r="A267" s="15">
        <v>265</v>
      </c>
      <c r="B267" s="39">
        <v>0</v>
      </c>
      <c r="C267" s="14">
        <v>1</v>
      </c>
      <c r="D267" s="18">
        <v>0</v>
      </c>
      <c r="E267" s="13">
        <v>59</v>
      </c>
      <c r="F267" s="13">
        <v>1</v>
      </c>
      <c r="G267" s="13">
        <v>5.9</v>
      </c>
      <c r="H267" s="15">
        <f>CONVERT(267,"ft","m")*100</f>
        <v>8138.1600000000008</v>
      </c>
      <c r="I267" s="13">
        <f t="shared" si="9"/>
        <v>81.381600000000006</v>
      </c>
      <c r="J267" s="13">
        <f>I267*I267</f>
        <v>6622.9648185600008</v>
      </c>
      <c r="K267" s="13">
        <v>72</v>
      </c>
      <c r="L267" s="15">
        <f t="shared" si="8"/>
        <v>1.0871264150192876E-2</v>
      </c>
      <c r="M267" s="16">
        <v>0</v>
      </c>
      <c r="N267" s="16">
        <v>0</v>
      </c>
      <c r="O267" s="22">
        <v>0</v>
      </c>
      <c r="P267" s="22">
        <v>0</v>
      </c>
      <c r="Q267" s="16">
        <v>10</v>
      </c>
    </row>
    <row r="268" spans="1:17" s="15" customFormat="1" x14ac:dyDescent="0.3">
      <c r="A268" s="15">
        <v>266</v>
      </c>
      <c r="B268" s="39">
        <v>0</v>
      </c>
      <c r="C268" s="14">
        <v>1</v>
      </c>
      <c r="D268" s="18">
        <v>0</v>
      </c>
      <c r="E268" s="13">
        <v>69</v>
      </c>
      <c r="F268" s="13">
        <v>1</v>
      </c>
      <c r="G268" s="13">
        <v>5.1100000000000003</v>
      </c>
      <c r="H268" s="15">
        <f>CONVERT(268,"ft","m")*100</f>
        <v>8168.64</v>
      </c>
      <c r="I268" s="13">
        <f t="shared" si="9"/>
        <v>81.686400000000006</v>
      </c>
      <c r="J268" s="13">
        <f>I268*I268</f>
        <v>6672.6679449600006</v>
      </c>
      <c r="K268" s="13">
        <v>67</v>
      </c>
      <c r="L268" s="15">
        <f t="shared" si="8"/>
        <v>1.0040961209617278E-2</v>
      </c>
      <c r="M268" s="16">
        <v>0</v>
      </c>
      <c r="N268" s="16">
        <v>0</v>
      </c>
      <c r="O268" s="22">
        <v>0</v>
      </c>
      <c r="P268" s="22">
        <v>0</v>
      </c>
      <c r="Q268" s="16">
        <v>10</v>
      </c>
    </row>
    <row r="269" spans="1:17" s="15" customFormat="1" x14ac:dyDescent="0.3">
      <c r="A269" s="15">
        <v>267</v>
      </c>
      <c r="B269" s="39">
        <v>0</v>
      </c>
      <c r="C269" s="14">
        <v>1</v>
      </c>
      <c r="D269" s="18">
        <v>0</v>
      </c>
      <c r="E269" s="13">
        <v>59</v>
      </c>
      <c r="F269" s="13">
        <v>1</v>
      </c>
      <c r="G269" s="13">
        <v>5.9</v>
      </c>
      <c r="H269" s="15">
        <f>CONVERT(269,"ft","m")*100</f>
        <v>8199.1200000000008</v>
      </c>
      <c r="I269" s="13">
        <f t="shared" si="9"/>
        <v>81.991200000000006</v>
      </c>
      <c r="J269" s="13">
        <f>I269*I269</f>
        <v>6722.5568774400008</v>
      </c>
      <c r="K269" s="13">
        <v>81</v>
      </c>
      <c r="L269" s="15">
        <f t="shared" si="8"/>
        <v>1.2048986937072282E-2</v>
      </c>
      <c r="M269" s="16">
        <v>0</v>
      </c>
      <c r="N269" s="16">
        <v>0</v>
      </c>
      <c r="O269" s="22">
        <v>0</v>
      </c>
      <c r="P269" s="22">
        <v>0</v>
      </c>
      <c r="Q269" s="16">
        <v>10</v>
      </c>
    </row>
    <row r="270" spans="1:17" s="15" customFormat="1" x14ac:dyDescent="0.3">
      <c r="A270" s="15">
        <v>268</v>
      </c>
      <c r="B270" s="39">
        <v>0</v>
      </c>
      <c r="C270" s="14">
        <v>0</v>
      </c>
      <c r="D270" s="18">
        <v>0</v>
      </c>
      <c r="E270" s="13">
        <v>63</v>
      </c>
      <c r="F270" s="13">
        <v>1</v>
      </c>
      <c r="G270" s="13">
        <v>5.1100000000000003</v>
      </c>
      <c r="H270" s="15">
        <f>CONVERT(270,"ft","m")*100</f>
        <v>8229.6</v>
      </c>
      <c r="I270" s="13">
        <f t="shared" si="9"/>
        <v>82.296000000000006</v>
      </c>
      <c r="J270" s="13">
        <f>I270*I270</f>
        <v>6772.6316160000015</v>
      </c>
      <c r="K270" s="13">
        <v>66</v>
      </c>
      <c r="L270" s="15">
        <f t="shared" si="8"/>
        <v>9.7451040809717632E-3</v>
      </c>
      <c r="M270" s="16">
        <v>0</v>
      </c>
      <c r="N270" s="16">
        <v>0</v>
      </c>
      <c r="O270" s="22">
        <v>0</v>
      </c>
      <c r="P270" s="22">
        <v>0</v>
      </c>
      <c r="Q270" s="16">
        <v>10</v>
      </c>
    </row>
    <row r="271" spans="1:17" s="15" customFormat="1" x14ac:dyDescent="0.3">
      <c r="A271" s="15">
        <v>269</v>
      </c>
      <c r="B271" s="39">
        <v>0</v>
      </c>
      <c r="C271" s="14">
        <v>1</v>
      </c>
      <c r="D271" s="18">
        <v>0</v>
      </c>
      <c r="E271" s="13">
        <v>55</v>
      </c>
      <c r="F271" s="13">
        <v>1</v>
      </c>
      <c r="G271" s="13">
        <v>5.9</v>
      </c>
      <c r="H271" s="15">
        <f>CONVERT(271,"ft","m")*100</f>
        <v>8260.08</v>
      </c>
      <c r="I271" s="13">
        <f t="shared" si="9"/>
        <v>82.600799999999992</v>
      </c>
      <c r="J271" s="13">
        <f>I271*I271</f>
        <v>6822.892160639999</v>
      </c>
      <c r="K271" s="13">
        <v>77</v>
      </c>
      <c r="L271" s="15">
        <f t="shared" si="8"/>
        <v>1.1285536717727819E-2</v>
      </c>
      <c r="M271" s="16">
        <v>0</v>
      </c>
      <c r="N271" s="16">
        <v>0</v>
      </c>
      <c r="O271" s="22">
        <v>0</v>
      </c>
      <c r="P271" s="22">
        <v>0</v>
      </c>
      <c r="Q271" s="16">
        <v>10</v>
      </c>
    </row>
    <row r="272" spans="1:17" s="15" customFormat="1" x14ac:dyDescent="0.3">
      <c r="A272" s="15">
        <v>270</v>
      </c>
      <c r="B272" s="39">
        <v>0</v>
      </c>
      <c r="C272" s="14">
        <v>1</v>
      </c>
      <c r="D272" s="18">
        <v>0</v>
      </c>
      <c r="E272" s="13">
        <v>44</v>
      </c>
      <c r="F272" s="13">
        <v>1</v>
      </c>
      <c r="G272" s="13">
        <v>5.7</v>
      </c>
      <c r="H272" s="15">
        <f>CONVERT(272,"ft","m")*100</f>
        <v>8290.5600000000013</v>
      </c>
      <c r="I272" s="13">
        <f t="shared" si="9"/>
        <v>82.905600000000007</v>
      </c>
      <c r="J272" s="13">
        <f>I272*I272</f>
        <v>6873.3385113600016</v>
      </c>
      <c r="K272" s="13">
        <v>85</v>
      </c>
      <c r="L272" s="15">
        <f t="shared" si="8"/>
        <v>1.2366625019197748E-2</v>
      </c>
      <c r="M272" s="16">
        <v>0</v>
      </c>
      <c r="N272" s="16">
        <v>0</v>
      </c>
      <c r="O272" s="22">
        <v>0</v>
      </c>
      <c r="P272" s="22">
        <v>0</v>
      </c>
      <c r="Q272" s="16">
        <v>10</v>
      </c>
    </row>
    <row r="273" spans="1:19" s="15" customFormat="1" x14ac:dyDescent="0.3">
      <c r="A273" s="15">
        <v>271</v>
      </c>
      <c r="B273" s="39">
        <v>0</v>
      </c>
      <c r="C273" s="14">
        <v>1</v>
      </c>
      <c r="D273" s="18">
        <v>0</v>
      </c>
      <c r="E273" s="13">
        <v>63</v>
      </c>
      <c r="F273" s="13">
        <v>1</v>
      </c>
      <c r="G273" s="13">
        <v>5.0999999999999996</v>
      </c>
      <c r="H273" s="15">
        <f>CONVERT(273,"ft","m")*100</f>
        <v>8321.0400000000009</v>
      </c>
      <c r="I273" s="13">
        <f t="shared" si="9"/>
        <v>83.210400000000007</v>
      </c>
      <c r="J273" s="13">
        <f>I273*I273</f>
        <v>6923.970668160001</v>
      </c>
      <c r="K273" s="13">
        <v>67</v>
      </c>
      <c r="L273" s="15">
        <f t="shared" si="8"/>
        <v>9.6765285716909032E-3</v>
      </c>
      <c r="M273" s="16">
        <v>0</v>
      </c>
      <c r="N273" s="16">
        <v>0</v>
      </c>
      <c r="O273" s="22">
        <v>0</v>
      </c>
      <c r="P273" s="22">
        <v>0</v>
      </c>
      <c r="Q273" s="16">
        <v>10</v>
      </c>
    </row>
    <row r="274" spans="1:19" s="15" customFormat="1" x14ac:dyDescent="0.3">
      <c r="A274" s="15">
        <v>272</v>
      </c>
      <c r="B274" s="39">
        <v>0</v>
      </c>
      <c r="C274" s="14">
        <v>0</v>
      </c>
      <c r="D274" s="18">
        <v>0</v>
      </c>
      <c r="E274" s="13">
        <v>69</v>
      </c>
      <c r="F274" s="13">
        <v>1</v>
      </c>
      <c r="G274" s="13">
        <v>5.7</v>
      </c>
      <c r="H274" s="15">
        <f>CONVERT(274,"ft","m")*100</f>
        <v>8351.5199999999986</v>
      </c>
      <c r="I274" s="13">
        <f t="shared" si="9"/>
        <v>83.515199999999993</v>
      </c>
      <c r="J274" s="13">
        <f>I274*I274</f>
        <v>6974.788631039999</v>
      </c>
      <c r="K274" s="13">
        <v>69</v>
      </c>
      <c r="L274" s="15">
        <f t="shared" si="8"/>
        <v>9.8927729068273608E-3</v>
      </c>
      <c r="M274" s="16">
        <v>1</v>
      </c>
      <c r="N274" s="16">
        <v>2</v>
      </c>
      <c r="O274" s="22">
        <v>0</v>
      </c>
      <c r="P274" s="22">
        <v>0</v>
      </c>
      <c r="Q274" s="16">
        <v>10</v>
      </c>
    </row>
    <row r="275" spans="1:19" s="15" customFormat="1" x14ac:dyDescent="0.3">
      <c r="A275" s="15">
        <v>273</v>
      </c>
      <c r="B275" s="39">
        <v>0</v>
      </c>
      <c r="C275" s="14">
        <v>1</v>
      </c>
      <c r="D275" s="18">
        <v>0</v>
      </c>
      <c r="E275" s="13">
        <v>71</v>
      </c>
      <c r="F275" s="13">
        <v>1</v>
      </c>
      <c r="G275" s="13">
        <v>6.2</v>
      </c>
      <c r="H275" s="15">
        <f>CONVERT(275,"ft","m")*100</f>
        <v>8382</v>
      </c>
      <c r="I275" s="13">
        <f t="shared" si="9"/>
        <v>83.82</v>
      </c>
      <c r="J275" s="13">
        <f>I275*I275</f>
        <v>7025.7923999999985</v>
      </c>
      <c r="K275" s="13">
        <v>62</v>
      </c>
      <c r="L275" s="15">
        <f t="shared" si="8"/>
        <v>8.8246273829554103E-3</v>
      </c>
      <c r="M275" s="16">
        <v>0</v>
      </c>
      <c r="N275" s="16">
        <v>0</v>
      </c>
      <c r="O275" s="22">
        <v>0</v>
      </c>
      <c r="P275" s="22">
        <v>0</v>
      </c>
      <c r="Q275" s="16">
        <v>10</v>
      </c>
    </row>
    <row r="276" spans="1:19" s="15" customFormat="1" x14ac:dyDescent="0.3">
      <c r="A276" s="15">
        <v>274</v>
      </c>
      <c r="B276" s="39">
        <v>0</v>
      </c>
      <c r="C276" s="14">
        <v>0</v>
      </c>
      <c r="D276" s="18">
        <v>0</v>
      </c>
      <c r="E276" s="13">
        <v>51</v>
      </c>
      <c r="F276" s="13">
        <v>9</v>
      </c>
      <c r="G276" s="13">
        <v>5.0999999999999996</v>
      </c>
      <c r="H276" s="15">
        <f>CONVERT(276,"ft","m")*100</f>
        <v>8412.48</v>
      </c>
      <c r="I276" s="13">
        <f t="shared" si="9"/>
        <v>84.124799999999993</v>
      </c>
      <c r="J276" s="13">
        <f>I276*I276</f>
        <v>7076.9819750399993</v>
      </c>
      <c r="K276" s="13">
        <v>72</v>
      </c>
      <c r="L276" s="15">
        <f t="shared" si="8"/>
        <v>1.0173828371181214E-2</v>
      </c>
      <c r="M276" s="16">
        <v>0</v>
      </c>
      <c r="N276" s="16">
        <v>0</v>
      </c>
      <c r="O276" s="22">
        <v>0</v>
      </c>
      <c r="P276" s="22">
        <v>0</v>
      </c>
      <c r="Q276" s="16">
        <v>10</v>
      </c>
    </row>
    <row r="277" spans="1:19" s="15" customFormat="1" x14ac:dyDescent="0.3">
      <c r="A277" s="15">
        <v>275</v>
      </c>
      <c r="B277" s="39">
        <v>0</v>
      </c>
      <c r="C277" s="14">
        <v>1</v>
      </c>
      <c r="D277" s="18">
        <v>0</v>
      </c>
      <c r="E277" s="13">
        <v>39</v>
      </c>
      <c r="F277" s="13">
        <v>1</v>
      </c>
      <c r="G277" s="13">
        <v>5.9</v>
      </c>
      <c r="H277" s="15">
        <f>CONVERT(277,"ft","m")*100</f>
        <v>8442.9599999999991</v>
      </c>
      <c r="I277" s="13">
        <f t="shared" si="9"/>
        <v>84.429599999999994</v>
      </c>
      <c r="J277" s="13">
        <f>I277*I277</f>
        <v>7128.3573561599987</v>
      </c>
      <c r="K277" s="13">
        <v>61</v>
      </c>
      <c r="L277" s="15">
        <f t="shared" si="8"/>
        <v>8.5573712080086167E-3</v>
      </c>
      <c r="M277" s="16">
        <v>0</v>
      </c>
      <c r="N277" s="16">
        <v>0</v>
      </c>
      <c r="O277" s="22">
        <v>0</v>
      </c>
      <c r="P277" s="22">
        <v>0</v>
      </c>
      <c r="Q277" s="16">
        <v>10</v>
      </c>
    </row>
    <row r="278" spans="1:19" s="15" customFormat="1" x14ac:dyDescent="0.3">
      <c r="A278" s="15">
        <v>276</v>
      </c>
      <c r="B278" s="39">
        <v>0</v>
      </c>
      <c r="C278" s="14">
        <v>1</v>
      </c>
      <c r="D278" s="18">
        <v>0</v>
      </c>
      <c r="E278" s="13">
        <v>57</v>
      </c>
      <c r="F278" s="13">
        <v>1</v>
      </c>
      <c r="G278" s="13">
        <v>6.1</v>
      </c>
      <c r="H278" s="15">
        <f>CONVERT(278,"ft","m")*100</f>
        <v>8473.4399999999987</v>
      </c>
      <c r="I278" s="13">
        <f t="shared" si="9"/>
        <v>84.734399999999994</v>
      </c>
      <c r="J278" s="13">
        <f>I278*I278</f>
        <v>7179.9185433599987</v>
      </c>
      <c r="K278" s="13">
        <v>77</v>
      </c>
      <c r="L278" s="15">
        <f t="shared" si="8"/>
        <v>1.0724355650414689E-2</v>
      </c>
      <c r="M278" s="16">
        <v>0</v>
      </c>
      <c r="N278" s="16">
        <v>0</v>
      </c>
      <c r="O278" s="22">
        <v>0</v>
      </c>
      <c r="P278" s="22">
        <v>0</v>
      </c>
      <c r="Q278" s="16">
        <v>10</v>
      </c>
    </row>
    <row r="279" spans="1:19" s="15" customFormat="1" x14ac:dyDescent="0.3">
      <c r="A279" s="15">
        <v>277</v>
      </c>
      <c r="B279" s="39">
        <v>0</v>
      </c>
      <c r="C279" s="14">
        <v>1</v>
      </c>
      <c r="D279" s="18">
        <v>0</v>
      </c>
      <c r="E279" s="13">
        <v>44</v>
      </c>
      <c r="F279" s="13">
        <v>1</v>
      </c>
      <c r="G279" s="13">
        <v>6.2</v>
      </c>
      <c r="H279" s="15">
        <f>CONVERT(279,"ft","m")*100</f>
        <v>8503.92</v>
      </c>
      <c r="I279" s="13">
        <f t="shared" si="9"/>
        <v>85.039199999999994</v>
      </c>
      <c r="J279" s="13">
        <f>I279*I279</f>
        <v>7231.6655366399991</v>
      </c>
      <c r="K279" s="13">
        <v>59</v>
      </c>
      <c r="L279" s="15">
        <f t="shared" si="8"/>
        <v>8.1585631554819908E-3</v>
      </c>
      <c r="M279" s="16">
        <v>0</v>
      </c>
      <c r="N279" s="16">
        <v>0</v>
      </c>
      <c r="O279" s="22">
        <v>0</v>
      </c>
      <c r="P279" s="22">
        <v>0</v>
      </c>
      <c r="Q279" s="16">
        <v>10</v>
      </c>
    </row>
    <row r="280" spans="1:19" s="15" customFormat="1" x14ac:dyDescent="0.3">
      <c r="A280" s="15">
        <v>278</v>
      </c>
      <c r="B280" s="39">
        <v>0</v>
      </c>
      <c r="C280" s="14">
        <v>1</v>
      </c>
      <c r="D280" s="18">
        <v>0</v>
      </c>
      <c r="E280" s="13">
        <v>49</v>
      </c>
      <c r="F280" s="13">
        <v>1</v>
      </c>
      <c r="G280" s="13">
        <v>5.9</v>
      </c>
      <c r="H280" s="15">
        <f>CONVERT(280,"ft","m")*100</f>
        <v>8534.4</v>
      </c>
      <c r="I280" s="13">
        <f t="shared" si="9"/>
        <v>85.343999999999994</v>
      </c>
      <c r="J280" s="13">
        <f>I280*I280</f>
        <v>7283.5983359999991</v>
      </c>
      <c r="K280" s="13">
        <v>69</v>
      </c>
      <c r="L280" s="15">
        <f t="shared" si="8"/>
        <v>9.4733395249103434E-3</v>
      </c>
      <c r="M280" s="16">
        <v>0</v>
      </c>
      <c r="N280" s="16">
        <v>0</v>
      </c>
      <c r="O280" s="22">
        <v>0</v>
      </c>
      <c r="P280" s="22">
        <v>0</v>
      </c>
      <c r="Q280" s="16">
        <v>10</v>
      </c>
    </row>
    <row r="281" spans="1:19" s="15" customFormat="1" x14ac:dyDescent="0.3">
      <c r="A281" s="15">
        <v>279</v>
      </c>
      <c r="B281" s="40">
        <v>0</v>
      </c>
      <c r="C281" s="21">
        <v>1</v>
      </c>
      <c r="D281" s="18">
        <v>0</v>
      </c>
      <c r="E281" s="21">
        <v>60</v>
      </c>
      <c r="F281" s="21">
        <v>7</v>
      </c>
      <c r="G281" s="21">
        <v>5.5</v>
      </c>
      <c r="H281" s="22">
        <f>CONVERT(281,"ft","m")*100</f>
        <v>8564.8799999999992</v>
      </c>
      <c r="I281" s="21">
        <f t="shared" si="9"/>
        <v>85.648799999999994</v>
      </c>
      <c r="J281" s="21">
        <f>I281*I281</f>
        <v>7335.7169414399987</v>
      </c>
      <c r="K281" s="21">
        <v>69</v>
      </c>
      <c r="L281" s="22">
        <f t="shared" si="8"/>
        <v>9.4060335957367684E-3</v>
      </c>
      <c r="M281" s="16">
        <v>0</v>
      </c>
      <c r="N281" s="16">
        <v>0</v>
      </c>
      <c r="O281" s="22">
        <v>0</v>
      </c>
      <c r="P281" s="22">
        <v>0</v>
      </c>
      <c r="Q281" s="16">
        <v>10</v>
      </c>
      <c r="R281" s="22"/>
      <c r="S281" s="22"/>
    </row>
    <row r="282" spans="1:19" s="15" customFormat="1" x14ac:dyDescent="0.3">
      <c r="A282" s="15">
        <v>280</v>
      </c>
      <c r="B282" s="40">
        <v>0</v>
      </c>
      <c r="C282" s="21">
        <v>1</v>
      </c>
      <c r="D282" s="18">
        <v>0</v>
      </c>
      <c r="E282" s="21">
        <v>45</v>
      </c>
      <c r="F282" s="21">
        <v>7</v>
      </c>
      <c r="G282" s="21">
        <v>5.4</v>
      </c>
      <c r="H282" s="22">
        <f>CONVERT(282,"ft","m")*100</f>
        <v>8595.3599999999988</v>
      </c>
      <c r="I282" s="21">
        <f t="shared" si="9"/>
        <v>85.953599999999994</v>
      </c>
      <c r="J282" s="21">
        <f>I282*I282</f>
        <v>7388.0213529599987</v>
      </c>
      <c r="K282" s="21">
        <v>70</v>
      </c>
      <c r="L282" s="22">
        <f t="shared" si="8"/>
        <v>9.4747966547165715E-3</v>
      </c>
      <c r="M282" s="16">
        <v>0</v>
      </c>
      <c r="N282" s="16">
        <v>0</v>
      </c>
      <c r="O282" s="22">
        <v>0</v>
      </c>
      <c r="P282" s="22">
        <v>0</v>
      </c>
      <c r="Q282" s="16">
        <v>10</v>
      </c>
      <c r="R282" s="22"/>
      <c r="S282" s="22"/>
    </row>
    <row r="283" spans="1:19" s="22" customFormat="1" x14ac:dyDescent="0.3">
      <c r="A283" s="15">
        <v>281</v>
      </c>
      <c r="B283" s="40">
        <v>0</v>
      </c>
      <c r="C283" s="21">
        <v>1</v>
      </c>
      <c r="D283" s="18">
        <v>0</v>
      </c>
      <c r="E283" s="21">
        <v>55</v>
      </c>
      <c r="F283" s="21">
        <v>7</v>
      </c>
      <c r="G283" s="21">
        <v>5.3</v>
      </c>
      <c r="H283" s="22">
        <f>CONVERT(283,"ft","m")*100</f>
        <v>8625.84</v>
      </c>
      <c r="I283" s="21">
        <f t="shared" si="9"/>
        <v>86.258399999999995</v>
      </c>
      <c r="J283" s="21">
        <f>I283*I283</f>
        <v>7440.5115705599992</v>
      </c>
      <c r="K283" s="21">
        <v>55</v>
      </c>
      <c r="L283" s="22">
        <f t="shared" si="8"/>
        <v>7.3919648505916518E-3</v>
      </c>
      <c r="M283" s="16">
        <v>0</v>
      </c>
      <c r="N283" s="16">
        <v>0</v>
      </c>
      <c r="O283" s="22">
        <v>0</v>
      </c>
      <c r="P283" s="22">
        <v>0</v>
      </c>
      <c r="Q283" s="16">
        <v>10</v>
      </c>
    </row>
    <row r="284" spans="1:19" s="22" customFormat="1" x14ac:dyDescent="0.3">
      <c r="A284" s="15">
        <v>282</v>
      </c>
      <c r="B284" s="40">
        <v>0</v>
      </c>
      <c r="C284" s="21">
        <v>1</v>
      </c>
      <c r="D284" s="18">
        <v>0</v>
      </c>
      <c r="E284" s="21">
        <v>35</v>
      </c>
      <c r="F284" s="21">
        <v>7</v>
      </c>
      <c r="G284" s="21">
        <v>5.5</v>
      </c>
      <c r="H284" s="22">
        <f>CONVERT(284,"ft","m")*100</f>
        <v>8656.32</v>
      </c>
      <c r="I284" s="21">
        <f t="shared" si="9"/>
        <v>86.563199999999995</v>
      </c>
      <c r="J284" s="21">
        <f>I284*I284</f>
        <v>7493.1875942399993</v>
      </c>
      <c r="K284" s="21">
        <v>77</v>
      </c>
      <c r="L284" s="22">
        <f t="shared" si="8"/>
        <v>1.0276000571397648E-2</v>
      </c>
      <c r="M284" s="16">
        <v>0</v>
      </c>
      <c r="N284" s="16">
        <v>0</v>
      </c>
      <c r="O284" s="22">
        <v>0</v>
      </c>
      <c r="P284" s="22">
        <v>0</v>
      </c>
      <c r="Q284" s="16">
        <v>10</v>
      </c>
    </row>
    <row r="285" spans="1:19" s="22" customFormat="1" x14ac:dyDescent="0.3">
      <c r="A285" s="15">
        <v>283</v>
      </c>
      <c r="B285" s="40">
        <v>0</v>
      </c>
      <c r="C285" s="21">
        <v>1</v>
      </c>
      <c r="D285" s="18">
        <v>0</v>
      </c>
      <c r="E285" s="21">
        <v>67</v>
      </c>
      <c r="F285" s="21">
        <v>4</v>
      </c>
      <c r="G285" s="21">
        <v>4.4000000000000004</v>
      </c>
      <c r="H285" s="22">
        <f>CONVERT(285,"ft","m")*100</f>
        <v>8686.7999999999993</v>
      </c>
      <c r="I285" s="21">
        <f t="shared" si="9"/>
        <v>86.867999999999995</v>
      </c>
      <c r="J285" s="21">
        <f>I285*I285</f>
        <v>7546.0494239999989</v>
      </c>
      <c r="K285" s="21">
        <v>58</v>
      </c>
      <c r="L285" s="22">
        <f t="shared" si="8"/>
        <v>7.6861410177797964E-3</v>
      </c>
      <c r="M285" s="16">
        <v>0</v>
      </c>
      <c r="N285" s="16">
        <v>0</v>
      </c>
      <c r="O285" s="22">
        <v>0</v>
      </c>
      <c r="P285" s="22">
        <v>0</v>
      </c>
      <c r="Q285" s="16">
        <v>10</v>
      </c>
    </row>
    <row r="286" spans="1:19" s="22" customFormat="1" x14ac:dyDescent="0.3">
      <c r="A286" s="15">
        <v>284</v>
      </c>
      <c r="B286" s="40">
        <v>0</v>
      </c>
      <c r="C286" s="21">
        <v>1</v>
      </c>
      <c r="D286" s="18">
        <v>0</v>
      </c>
      <c r="E286" s="21">
        <v>46</v>
      </c>
      <c r="F286" s="21">
        <v>5</v>
      </c>
      <c r="G286" s="21">
        <v>4.9000000000000004</v>
      </c>
      <c r="H286" s="22">
        <f>CONVERT(286,"ft","m")*100</f>
        <v>8717.2799999999988</v>
      </c>
      <c r="I286" s="21">
        <f t="shared" si="9"/>
        <v>87.172799999999995</v>
      </c>
      <c r="J286" s="21">
        <f>I286*I286</f>
        <v>7599.097059839999</v>
      </c>
      <c r="K286" s="21">
        <v>60</v>
      </c>
      <c r="L286" s="22">
        <f t="shared" si="8"/>
        <v>7.8956749107851661E-3</v>
      </c>
      <c r="M286" s="16">
        <v>0</v>
      </c>
      <c r="N286" s="16">
        <v>0</v>
      </c>
      <c r="O286" s="22">
        <v>0</v>
      </c>
      <c r="P286" s="22">
        <v>0</v>
      </c>
      <c r="Q286" s="16">
        <v>10</v>
      </c>
    </row>
    <row r="287" spans="1:19" s="22" customFormat="1" x14ac:dyDescent="0.3">
      <c r="A287" s="15">
        <v>285</v>
      </c>
      <c r="B287" s="40">
        <v>0</v>
      </c>
      <c r="C287" s="21">
        <v>1</v>
      </c>
      <c r="D287" s="18">
        <v>0</v>
      </c>
      <c r="E287" s="21">
        <v>55</v>
      </c>
      <c r="F287" s="21">
        <v>1</v>
      </c>
      <c r="G287" s="21">
        <v>5</v>
      </c>
      <c r="H287" s="22">
        <f>CONVERT(287,"ft","m")*100</f>
        <v>8747.76</v>
      </c>
      <c r="I287" s="21">
        <f t="shared" si="9"/>
        <v>87.477599999999995</v>
      </c>
      <c r="J287" s="21">
        <f>I287*I287</f>
        <v>7652.3305017599996</v>
      </c>
      <c r="K287" s="21">
        <v>60</v>
      </c>
      <c r="L287" s="22">
        <f t="shared" si="8"/>
        <v>7.8407486433316343E-3</v>
      </c>
      <c r="M287" s="16">
        <v>0</v>
      </c>
      <c r="N287" s="16">
        <v>0</v>
      </c>
      <c r="O287" s="22">
        <v>0</v>
      </c>
      <c r="P287" s="22">
        <v>0</v>
      </c>
      <c r="Q287" s="16">
        <v>10</v>
      </c>
    </row>
    <row r="288" spans="1:19" s="22" customFormat="1" x14ac:dyDescent="0.3">
      <c r="A288" s="15">
        <v>286</v>
      </c>
      <c r="B288" s="40">
        <v>0</v>
      </c>
      <c r="C288" s="21">
        <v>1</v>
      </c>
      <c r="D288" s="18">
        <v>0</v>
      </c>
      <c r="E288" s="21">
        <v>55</v>
      </c>
      <c r="F288" s="21">
        <v>1</v>
      </c>
      <c r="G288" s="21">
        <v>5.5</v>
      </c>
      <c r="H288" s="22">
        <f>CONVERT(288,"ft","m")*100</f>
        <v>8778.24</v>
      </c>
      <c r="I288" s="21">
        <f t="shared" si="9"/>
        <v>87.782399999999996</v>
      </c>
      <c r="J288" s="21">
        <f>I288*I288</f>
        <v>7705.7497497599988</v>
      </c>
      <c r="K288" s="21">
        <v>60</v>
      </c>
      <c r="L288" s="22">
        <f t="shared" si="8"/>
        <v>7.7863935306059923E-3</v>
      </c>
      <c r="M288" s="16">
        <v>0</v>
      </c>
      <c r="N288" s="16">
        <v>0</v>
      </c>
      <c r="O288" s="22">
        <v>0</v>
      </c>
      <c r="P288" s="22">
        <v>0</v>
      </c>
      <c r="Q288" s="16">
        <v>10</v>
      </c>
    </row>
    <row r="289" spans="1:17" s="22" customFormat="1" x14ac:dyDescent="0.3">
      <c r="A289" s="15">
        <v>287</v>
      </c>
      <c r="B289" s="40">
        <v>0</v>
      </c>
      <c r="C289" s="21">
        <v>1</v>
      </c>
      <c r="D289" s="18">
        <v>0</v>
      </c>
      <c r="E289" s="21">
        <v>66</v>
      </c>
      <c r="F289" s="21">
        <v>12</v>
      </c>
      <c r="G289" s="21">
        <v>5.5</v>
      </c>
      <c r="H289" s="22">
        <f>CONVERT(289,"ft","m")*100</f>
        <v>8808.7199999999993</v>
      </c>
      <c r="I289" s="21">
        <f t="shared" si="9"/>
        <v>88.087199999999996</v>
      </c>
      <c r="J289" s="21">
        <f>I289*I289</f>
        <v>7759.3548038399995</v>
      </c>
      <c r="K289" s="21">
        <v>55</v>
      </c>
      <c r="L289" s="22">
        <f t="shared" si="8"/>
        <v>7.0882182076248464E-3</v>
      </c>
      <c r="M289" s="16">
        <v>0</v>
      </c>
      <c r="N289" s="16">
        <v>0</v>
      </c>
      <c r="O289" s="22">
        <v>0</v>
      </c>
      <c r="P289" s="22">
        <v>0</v>
      </c>
      <c r="Q289" s="16">
        <v>10</v>
      </c>
    </row>
    <row r="290" spans="1:17" s="22" customFormat="1" x14ac:dyDescent="0.3">
      <c r="A290" s="15">
        <v>288</v>
      </c>
      <c r="B290" s="40">
        <v>0</v>
      </c>
      <c r="C290" s="21">
        <v>1</v>
      </c>
      <c r="D290" s="18">
        <v>0</v>
      </c>
      <c r="E290" s="21">
        <v>45</v>
      </c>
      <c r="F290" s="21">
        <v>2</v>
      </c>
      <c r="G290" s="21">
        <v>5</v>
      </c>
      <c r="H290" s="22">
        <f>CONVERT(290,"ft","m")*100</f>
        <v>8839.1999999999989</v>
      </c>
      <c r="I290" s="21">
        <f t="shared" si="9"/>
        <v>88.391999999999996</v>
      </c>
      <c r="J290" s="21">
        <f>I290*I290</f>
        <v>7813.1456639999997</v>
      </c>
      <c r="K290" s="21">
        <v>69</v>
      </c>
      <c r="L290" s="22">
        <f t="shared" si="8"/>
        <v>8.8312701397499516E-3</v>
      </c>
      <c r="M290" s="16">
        <v>0</v>
      </c>
      <c r="N290" s="16">
        <v>0</v>
      </c>
      <c r="O290" s="22">
        <v>0</v>
      </c>
      <c r="P290" s="22">
        <v>0</v>
      </c>
      <c r="Q290" s="16">
        <v>10</v>
      </c>
    </row>
    <row r="291" spans="1:17" s="22" customFormat="1" x14ac:dyDescent="0.3">
      <c r="A291" s="15">
        <v>289</v>
      </c>
      <c r="B291" s="40">
        <v>0</v>
      </c>
      <c r="C291" s="21">
        <v>1</v>
      </c>
      <c r="D291" s="18">
        <v>0</v>
      </c>
      <c r="E291" s="21">
        <v>89</v>
      </c>
      <c r="F291" s="21">
        <v>1</v>
      </c>
      <c r="G291" s="21">
        <v>5.5</v>
      </c>
      <c r="H291" s="22">
        <f>CONVERT(291,"ft","m")*100</f>
        <v>8869.68</v>
      </c>
      <c r="I291" s="21">
        <f t="shared" si="9"/>
        <v>88.696799999999996</v>
      </c>
      <c r="J291" s="21">
        <f>I291*I291</f>
        <v>7867.1223302399994</v>
      </c>
      <c r="K291" s="21">
        <v>78</v>
      </c>
      <c r="L291" s="22">
        <f t="shared" si="8"/>
        <v>9.9146799459543279E-3</v>
      </c>
      <c r="M291" s="16">
        <v>0</v>
      </c>
      <c r="N291" s="16">
        <v>0</v>
      </c>
      <c r="O291" s="22">
        <v>0</v>
      </c>
      <c r="P291" s="22">
        <v>0</v>
      </c>
      <c r="Q291" s="16">
        <v>10</v>
      </c>
    </row>
    <row r="292" spans="1:17" s="22" customFormat="1" x14ac:dyDescent="0.3">
      <c r="A292" s="15">
        <v>290</v>
      </c>
      <c r="B292" s="40">
        <v>0</v>
      </c>
      <c r="C292" s="21">
        <v>1</v>
      </c>
      <c r="D292" s="18">
        <v>0</v>
      </c>
      <c r="E292" s="21">
        <v>56</v>
      </c>
      <c r="F292" s="21">
        <v>1</v>
      </c>
      <c r="G292" s="21">
        <v>4.9000000000000004</v>
      </c>
      <c r="H292" s="22">
        <f>CONVERT(292,"ft","m")*100</f>
        <v>8900.16</v>
      </c>
      <c r="I292" s="21">
        <f t="shared" si="9"/>
        <v>89.001599999999996</v>
      </c>
      <c r="J292" s="21">
        <f>I292*I292</f>
        <v>7921.2848025599997</v>
      </c>
      <c r="K292" s="21">
        <v>65</v>
      </c>
      <c r="L292" s="22">
        <f t="shared" si="8"/>
        <v>8.2057395511133894E-3</v>
      </c>
      <c r="M292" s="16">
        <v>0</v>
      </c>
      <c r="N292" s="16">
        <v>0</v>
      </c>
      <c r="O292" s="22">
        <v>0</v>
      </c>
      <c r="P292" s="22">
        <v>0</v>
      </c>
      <c r="Q292" s="16">
        <v>10</v>
      </c>
    </row>
    <row r="293" spans="1:17" s="22" customFormat="1" x14ac:dyDescent="0.3">
      <c r="A293" s="15">
        <v>291</v>
      </c>
      <c r="B293" s="40">
        <v>0</v>
      </c>
      <c r="C293" s="21">
        <v>1</v>
      </c>
      <c r="D293" s="18">
        <v>0</v>
      </c>
      <c r="E293" s="21">
        <v>35</v>
      </c>
      <c r="F293" s="21">
        <v>5</v>
      </c>
      <c r="G293" s="21">
        <v>5</v>
      </c>
      <c r="H293" s="22">
        <f>CONVERT(293,"ft","m")*100</f>
        <v>8930.64</v>
      </c>
      <c r="I293" s="21">
        <f t="shared" si="9"/>
        <v>89.306399999999996</v>
      </c>
      <c r="J293" s="21">
        <f>I293*I293</f>
        <v>7975.6330809599995</v>
      </c>
      <c r="K293" s="21">
        <v>68</v>
      </c>
      <c r="L293" s="22">
        <f t="shared" si="8"/>
        <v>8.5259689493909201E-3</v>
      </c>
      <c r="M293" s="16">
        <v>0</v>
      </c>
      <c r="N293" s="16">
        <v>0</v>
      </c>
      <c r="O293" s="22">
        <v>0</v>
      </c>
      <c r="P293" s="22">
        <v>0</v>
      </c>
      <c r="Q293" s="16">
        <v>10</v>
      </c>
    </row>
    <row r="294" spans="1:17" s="22" customFormat="1" x14ac:dyDescent="0.3">
      <c r="A294" s="15">
        <v>292</v>
      </c>
      <c r="B294" s="40">
        <v>0</v>
      </c>
      <c r="C294" s="21">
        <v>1</v>
      </c>
      <c r="D294" s="18">
        <v>0</v>
      </c>
      <c r="E294" s="21">
        <v>25</v>
      </c>
      <c r="F294" s="21">
        <v>5</v>
      </c>
      <c r="G294" s="21">
        <v>5.5</v>
      </c>
      <c r="H294" s="22">
        <f>CONVERT(294,"ft","m")*100</f>
        <v>8961.119999999999</v>
      </c>
      <c r="I294" s="21">
        <f t="shared" si="9"/>
        <v>89.611199999999997</v>
      </c>
      <c r="J294" s="21">
        <f>I294*I294</f>
        <v>8030.1671654399997</v>
      </c>
      <c r="K294" s="21">
        <v>75</v>
      </c>
      <c r="L294" s="22">
        <f t="shared" si="8"/>
        <v>9.3397806614515851E-3</v>
      </c>
      <c r="M294" s="16">
        <v>0</v>
      </c>
      <c r="N294" s="16">
        <v>0</v>
      </c>
      <c r="O294" s="22">
        <v>0</v>
      </c>
      <c r="P294" s="22">
        <v>0</v>
      </c>
      <c r="Q294" s="16">
        <v>10</v>
      </c>
    </row>
    <row r="295" spans="1:17" s="22" customFormat="1" x14ac:dyDescent="0.3">
      <c r="A295" s="15">
        <v>293</v>
      </c>
      <c r="B295" s="40">
        <v>0</v>
      </c>
      <c r="C295" s="21">
        <v>1</v>
      </c>
      <c r="D295" s="18">
        <v>0</v>
      </c>
      <c r="E295" s="21">
        <v>77</v>
      </c>
      <c r="F295" s="21">
        <v>11</v>
      </c>
      <c r="G295" s="21">
        <v>5.5</v>
      </c>
      <c r="H295" s="22">
        <f>CONVERT(295,"ft","m")*100</f>
        <v>8991.6</v>
      </c>
      <c r="I295" s="21">
        <f t="shared" si="9"/>
        <v>89.915999999999997</v>
      </c>
      <c r="J295" s="21">
        <f>I295*I295</f>
        <v>8084.8870559999996</v>
      </c>
      <c r="K295" s="21">
        <v>60</v>
      </c>
      <c r="L295" s="22">
        <f t="shared" si="8"/>
        <v>7.4212539500440487E-3</v>
      </c>
      <c r="M295" s="16">
        <v>0</v>
      </c>
      <c r="N295" s="16">
        <v>0</v>
      </c>
      <c r="O295" s="22">
        <v>0</v>
      </c>
      <c r="P295" s="22">
        <v>0</v>
      </c>
      <c r="Q295" s="16">
        <v>10</v>
      </c>
    </row>
    <row r="296" spans="1:17" s="22" customFormat="1" x14ac:dyDescent="0.3">
      <c r="A296" s="15">
        <v>294</v>
      </c>
      <c r="B296" s="40">
        <v>0</v>
      </c>
      <c r="C296" s="21">
        <v>1</v>
      </c>
      <c r="D296" s="18">
        <v>0</v>
      </c>
      <c r="E296" s="21">
        <v>56</v>
      </c>
      <c r="F296" s="21">
        <v>0</v>
      </c>
      <c r="G296" s="21">
        <v>5.3</v>
      </c>
      <c r="H296" s="22">
        <f>CONVERT(296,"ft","m")*100</f>
        <v>9022.08</v>
      </c>
      <c r="I296" s="21">
        <f t="shared" si="9"/>
        <v>90.220799999999997</v>
      </c>
      <c r="J296" s="21">
        <f>I296*I296</f>
        <v>8139.7927526399999</v>
      </c>
      <c r="K296" s="21">
        <v>70</v>
      </c>
      <c r="L296" s="22">
        <f t="shared" si="8"/>
        <v>8.5997275516992398E-3</v>
      </c>
      <c r="M296" s="16">
        <v>0</v>
      </c>
      <c r="N296" s="16">
        <v>0</v>
      </c>
      <c r="O296" s="22">
        <v>0</v>
      </c>
      <c r="P296" s="22">
        <v>0</v>
      </c>
      <c r="Q296" s="16">
        <v>10</v>
      </c>
    </row>
    <row r="297" spans="1:17" s="22" customFormat="1" x14ac:dyDescent="0.3">
      <c r="A297" s="15">
        <v>295</v>
      </c>
      <c r="B297" s="40">
        <v>0</v>
      </c>
      <c r="C297" s="21">
        <v>1</v>
      </c>
      <c r="D297" s="18">
        <v>0</v>
      </c>
      <c r="E297" s="21">
        <v>45</v>
      </c>
      <c r="F297" s="21">
        <v>0</v>
      </c>
      <c r="G297" s="21">
        <v>4.9000000000000004</v>
      </c>
      <c r="H297" s="22">
        <f>CONVERT(297,"ft","m")*100</f>
        <v>9052.56</v>
      </c>
      <c r="I297" s="21">
        <f t="shared" si="9"/>
        <v>90.525599999999997</v>
      </c>
      <c r="J297" s="21">
        <f>I297*I297</f>
        <v>8194.8842553599989</v>
      </c>
      <c r="K297" s="21">
        <v>80</v>
      </c>
      <c r="L297" s="22">
        <f t="shared" si="8"/>
        <v>9.7621879098139415E-3</v>
      </c>
      <c r="M297" s="16">
        <v>0</v>
      </c>
      <c r="N297" s="16">
        <v>0</v>
      </c>
      <c r="O297" s="22">
        <v>0</v>
      </c>
      <c r="P297" s="22">
        <v>0</v>
      </c>
      <c r="Q297" s="16">
        <v>10</v>
      </c>
    </row>
    <row r="298" spans="1:17" s="22" customFormat="1" x14ac:dyDescent="0.3">
      <c r="A298" s="15">
        <v>296</v>
      </c>
      <c r="B298" s="40">
        <v>0</v>
      </c>
      <c r="C298" s="21">
        <v>1</v>
      </c>
      <c r="D298" s="18">
        <v>0</v>
      </c>
      <c r="E298" s="21">
        <v>67</v>
      </c>
      <c r="F298" s="21">
        <v>5</v>
      </c>
      <c r="G298" s="21">
        <v>5.5</v>
      </c>
      <c r="H298" s="22">
        <f>CONVERT(298,"ft","m")*100</f>
        <v>9083.0399999999991</v>
      </c>
      <c r="I298" s="21">
        <f t="shared" si="9"/>
        <v>90.830399999999997</v>
      </c>
      <c r="J298" s="21">
        <f>I298*I298</f>
        <v>8250.1615641600001</v>
      </c>
      <c r="K298" s="21">
        <v>90</v>
      </c>
      <c r="L298" s="22">
        <f t="shared" si="8"/>
        <v>1.0908877274715947E-2</v>
      </c>
      <c r="M298" s="16">
        <v>0</v>
      </c>
      <c r="N298" s="16">
        <v>0</v>
      </c>
      <c r="O298" s="22">
        <v>0</v>
      </c>
      <c r="P298" s="22">
        <v>0</v>
      </c>
      <c r="Q298" s="16">
        <v>8.6999999999999993</v>
      </c>
    </row>
    <row r="299" spans="1:17" s="22" customFormat="1" x14ac:dyDescent="0.3">
      <c r="A299" s="15">
        <v>297</v>
      </c>
      <c r="B299" s="40">
        <v>0</v>
      </c>
      <c r="C299" s="21">
        <v>1</v>
      </c>
      <c r="D299" s="18">
        <v>0</v>
      </c>
      <c r="E299" s="21">
        <v>76</v>
      </c>
      <c r="F299" s="21">
        <v>1</v>
      </c>
      <c r="G299" s="21">
        <v>5.3</v>
      </c>
      <c r="H299" s="22">
        <f>CONVERT(299,"ft","m")*100</f>
        <v>9113.52</v>
      </c>
      <c r="I299" s="21">
        <f t="shared" si="9"/>
        <v>91.135199999999998</v>
      </c>
      <c r="J299" s="21">
        <f>I299*I299</f>
        <v>8305.62467904</v>
      </c>
      <c r="K299" s="21">
        <v>65</v>
      </c>
      <c r="L299" s="22">
        <f t="shared" si="8"/>
        <v>7.8260218239855472E-3</v>
      </c>
      <c r="M299" s="16">
        <v>0</v>
      </c>
      <c r="N299" s="16">
        <v>0</v>
      </c>
      <c r="O299" s="22">
        <v>0</v>
      </c>
      <c r="P299" s="22">
        <v>0</v>
      </c>
      <c r="Q299" s="16">
        <v>8.6999999999999993</v>
      </c>
    </row>
    <row r="300" spans="1:17" s="22" customFormat="1" x14ac:dyDescent="0.3">
      <c r="A300" s="15">
        <v>298</v>
      </c>
      <c r="B300" s="40">
        <v>0</v>
      </c>
      <c r="C300" s="21">
        <v>1</v>
      </c>
      <c r="D300" s="18">
        <v>0</v>
      </c>
      <c r="E300" s="21">
        <v>54</v>
      </c>
      <c r="F300" s="21">
        <v>13</v>
      </c>
      <c r="G300" s="21">
        <v>5.5</v>
      </c>
      <c r="H300" s="22">
        <f>CONVERT(300,"ft","m")*100</f>
        <v>9144</v>
      </c>
      <c r="I300" s="21">
        <f t="shared" si="9"/>
        <v>91.44</v>
      </c>
      <c r="J300" s="21">
        <f>I300*I300</f>
        <v>8361.2736000000004</v>
      </c>
      <c r="K300" s="21">
        <v>65</v>
      </c>
      <c r="L300" s="22">
        <f t="shared" si="8"/>
        <v>7.7739353009570215E-3</v>
      </c>
      <c r="M300" s="16">
        <v>0</v>
      </c>
      <c r="N300" s="16">
        <v>0</v>
      </c>
      <c r="O300" s="22">
        <v>0</v>
      </c>
      <c r="P300" s="22">
        <v>0</v>
      </c>
      <c r="Q300" s="16">
        <v>8.6999999999999993</v>
      </c>
    </row>
    <row r="301" spans="1:17" s="22" customFormat="1" x14ac:dyDescent="0.3">
      <c r="A301" s="15">
        <v>299</v>
      </c>
      <c r="B301" s="40">
        <v>0</v>
      </c>
      <c r="C301" s="21">
        <v>1</v>
      </c>
      <c r="D301" s="18">
        <v>0</v>
      </c>
      <c r="E301" s="21">
        <v>55</v>
      </c>
      <c r="F301" s="21">
        <v>1</v>
      </c>
      <c r="G301" s="21">
        <v>4.9000000000000004</v>
      </c>
      <c r="H301" s="22">
        <f>CONVERT(301,"ft","m")*100</f>
        <v>9174.48</v>
      </c>
      <c r="I301" s="21">
        <f t="shared" si="9"/>
        <v>91.744799999999998</v>
      </c>
      <c r="J301" s="21">
        <f>I301*I301</f>
        <v>8417.1083270399995</v>
      </c>
      <c r="K301" s="21">
        <v>68</v>
      </c>
      <c r="L301" s="22">
        <f t="shared" si="8"/>
        <v>8.0787839906431621E-3</v>
      </c>
      <c r="M301" s="16">
        <v>0</v>
      </c>
      <c r="N301" s="16">
        <v>0</v>
      </c>
      <c r="O301" s="22">
        <v>0</v>
      </c>
      <c r="P301" s="22">
        <v>0</v>
      </c>
      <c r="Q301" s="16">
        <v>8.6999999999999993</v>
      </c>
    </row>
    <row r="302" spans="1:17" s="22" customFormat="1" x14ac:dyDescent="0.3">
      <c r="A302" s="15">
        <v>300</v>
      </c>
      <c r="B302" s="40">
        <v>0</v>
      </c>
      <c r="C302" s="21">
        <v>1</v>
      </c>
      <c r="D302" s="18">
        <v>0</v>
      </c>
      <c r="E302" s="21">
        <v>66</v>
      </c>
      <c r="F302" s="21">
        <v>1</v>
      </c>
      <c r="G302" s="21">
        <v>5.5</v>
      </c>
      <c r="H302" s="22">
        <f>CONVERT(302,"ft","m")*100</f>
        <v>9204.9599999999991</v>
      </c>
      <c r="I302" s="21">
        <f t="shared" si="9"/>
        <v>92.049599999999998</v>
      </c>
      <c r="J302" s="21">
        <f>I302*I302</f>
        <v>8473.128860159999</v>
      </c>
      <c r="K302" s="21">
        <v>70</v>
      </c>
      <c r="L302" s="22">
        <f t="shared" si="8"/>
        <v>8.2614110035709037E-3</v>
      </c>
      <c r="M302" s="16">
        <v>0</v>
      </c>
      <c r="N302" s="16">
        <v>0</v>
      </c>
      <c r="O302" s="22">
        <v>0</v>
      </c>
      <c r="P302" s="22">
        <v>0</v>
      </c>
      <c r="Q302" s="16">
        <v>8.6999999999999993</v>
      </c>
    </row>
    <row r="303" spans="1:17" s="22" customFormat="1" x14ac:dyDescent="0.3">
      <c r="A303" s="15">
        <v>301</v>
      </c>
      <c r="B303" s="40">
        <v>0</v>
      </c>
      <c r="C303" s="21">
        <v>1</v>
      </c>
      <c r="D303" s="18">
        <v>0</v>
      </c>
      <c r="E303" s="21">
        <v>85</v>
      </c>
      <c r="F303" s="21">
        <v>1</v>
      </c>
      <c r="G303" s="21">
        <v>5</v>
      </c>
      <c r="H303" s="22">
        <f>CONVERT(303,"ft","m")*100</f>
        <v>9235.44</v>
      </c>
      <c r="I303" s="21">
        <f t="shared" si="9"/>
        <v>92.354399999999998</v>
      </c>
      <c r="J303" s="21">
        <f>I303*I303</f>
        <v>8529.335199359999</v>
      </c>
      <c r="K303" s="21">
        <v>55</v>
      </c>
      <c r="L303" s="22">
        <f t="shared" si="8"/>
        <v>6.448333746354222E-3</v>
      </c>
      <c r="M303" s="16">
        <v>0</v>
      </c>
      <c r="N303" s="16">
        <v>0</v>
      </c>
      <c r="O303" s="22">
        <v>0</v>
      </c>
      <c r="P303" s="22">
        <v>0</v>
      </c>
      <c r="Q303" s="16">
        <v>8.6999999999999993</v>
      </c>
    </row>
    <row r="304" spans="1:17" s="22" customFormat="1" x14ac:dyDescent="0.3">
      <c r="A304" s="15">
        <v>302</v>
      </c>
      <c r="B304" s="40">
        <v>0</v>
      </c>
      <c r="C304" s="21">
        <v>1</v>
      </c>
      <c r="D304" s="18">
        <v>0</v>
      </c>
      <c r="E304" s="21">
        <v>67</v>
      </c>
      <c r="F304" s="21">
        <v>1</v>
      </c>
      <c r="G304" s="21">
        <v>5.5</v>
      </c>
      <c r="H304" s="22">
        <f>CONVERT(304,"ft","m")*100</f>
        <v>9265.92</v>
      </c>
      <c r="I304" s="21">
        <f t="shared" si="9"/>
        <v>92.659199999999998</v>
      </c>
      <c r="J304" s="21">
        <f>I304*I304</f>
        <v>8585.7273446399995</v>
      </c>
      <c r="K304" s="21">
        <v>55</v>
      </c>
      <c r="L304" s="22">
        <f t="shared" si="8"/>
        <v>6.405980273102436E-3</v>
      </c>
      <c r="M304" s="16">
        <v>0</v>
      </c>
      <c r="N304" s="16">
        <v>0</v>
      </c>
      <c r="O304" s="22">
        <v>0</v>
      </c>
      <c r="P304" s="22">
        <v>0</v>
      </c>
      <c r="Q304" s="16">
        <v>8.6999999999999993</v>
      </c>
    </row>
    <row r="305" spans="1:17" s="22" customFormat="1" x14ac:dyDescent="0.3">
      <c r="A305" s="15">
        <v>303</v>
      </c>
      <c r="B305" s="40">
        <v>0</v>
      </c>
      <c r="C305" s="21">
        <v>0</v>
      </c>
      <c r="D305" s="18">
        <v>0</v>
      </c>
      <c r="E305" s="21">
        <v>65</v>
      </c>
      <c r="F305" s="21">
        <v>4</v>
      </c>
      <c r="G305" s="21">
        <v>5.5</v>
      </c>
      <c r="H305" s="22">
        <f>CONVERT(305,"ft","m")*100</f>
        <v>9296.4</v>
      </c>
      <c r="I305" s="21">
        <f t="shared" si="9"/>
        <v>92.963999999999999</v>
      </c>
      <c r="J305" s="21">
        <f>I305*I305</f>
        <v>8642.3052960000005</v>
      </c>
      <c r="K305" s="21">
        <v>67</v>
      </c>
      <c r="L305" s="22">
        <f t="shared" si="8"/>
        <v>7.7525611171142313E-3</v>
      </c>
      <c r="M305" s="16">
        <v>0</v>
      </c>
      <c r="N305" s="16">
        <v>0</v>
      </c>
      <c r="O305" s="22">
        <v>0</v>
      </c>
      <c r="P305" s="22">
        <v>0</v>
      </c>
      <c r="Q305" s="16">
        <v>8.6999999999999993</v>
      </c>
    </row>
    <row r="306" spans="1:17" s="22" customFormat="1" x14ac:dyDescent="0.3">
      <c r="A306" s="15">
        <v>304</v>
      </c>
      <c r="B306" s="40">
        <v>0</v>
      </c>
      <c r="C306" s="21">
        <v>1</v>
      </c>
      <c r="D306" s="18">
        <v>0</v>
      </c>
      <c r="E306" s="21">
        <v>65</v>
      </c>
      <c r="F306" s="21">
        <v>5</v>
      </c>
      <c r="G306" s="21">
        <v>4.9000000000000004</v>
      </c>
      <c r="H306" s="22">
        <f>CONVERT(306,"ft","m")*100</f>
        <v>9326.8799999999992</v>
      </c>
      <c r="I306" s="21">
        <f t="shared" si="9"/>
        <v>93.268799999999999</v>
      </c>
      <c r="J306" s="21">
        <f>I306*I306</f>
        <v>8699.0690534400001</v>
      </c>
      <c r="K306" s="21">
        <v>68</v>
      </c>
      <c r="L306" s="22">
        <f t="shared" si="8"/>
        <v>7.8169284071966036E-3</v>
      </c>
      <c r="M306" s="16">
        <v>0</v>
      </c>
      <c r="N306" s="16">
        <v>0</v>
      </c>
      <c r="O306" s="22">
        <v>0</v>
      </c>
      <c r="P306" s="22">
        <v>0</v>
      </c>
      <c r="Q306" s="16">
        <v>8.6999999999999993</v>
      </c>
    </row>
    <row r="307" spans="1:17" s="22" customFormat="1" x14ac:dyDescent="0.3">
      <c r="A307" s="15">
        <v>305</v>
      </c>
      <c r="B307" s="40">
        <v>0</v>
      </c>
      <c r="C307" s="21">
        <v>1</v>
      </c>
      <c r="D307" s="18">
        <v>0</v>
      </c>
      <c r="E307" s="21">
        <v>65</v>
      </c>
      <c r="F307" s="21">
        <v>5</v>
      </c>
      <c r="G307" s="21">
        <v>5</v>
      </c>
      <c r="H307" s="22">
        <f>CONVERT(307,"ft","m")*100</f>
        <v>9357.36</v>
      </c>
      <c r="I307" s="21">
        <f t="shared" si="9"/>
        <v>93.573599999999999</v>
      </c>
      <c r="J307" s="21">
        <f>I307*I307</f>
        <v>8756.0186169600001</v>
      </c>
      <c r="K307" s="21">
        <v>69</v>
      </c>
      <c r="L307" s="22">
        <f t="shared" si="8"/>
        <v>7.8802938890913526E-3</v>
      </c>
      <c r="M307" s="16">
        <v>0</v>
      </c>
      <c r="N307" s="16">
        <v>0</v>
      </c>
      <c r="O307" s="22">
        <v>0</v>
      </c>
      <c r="P307" s="22">
        <v>0</v>
      </c>
      <c r="Q307" s="16">
        <v>8.6999999999999993</v>
      </c>
    </row>
    <row r="308" spans="1:17" s="22" customFormat="1" x14ac:dyDescent="0.3">
      <c r="A308" s="15">
        <v>306</v>
      </c>
      <c r="B308" s="40">
        <v>0</v>
      </c>
      <c r="C308" s="21">
        <v>1</v>
      </c>
      <c r="D308" s="18">
        <v>0</v>
      </c>
      <c r="E308" s="21">
        <v>44</v>
      </c>
      <c r="F308" s="21">
        <v>1</v>
      </c>
      <c r="G308" s="21">
        <v>5.5</v>
      </c>
      <c r="H308" s="22">
        <f>CONVERT(308,"ft","m")*100</f>
        <v>9387.84</v>
      </c>
      <c r="I308" s="21">
        <f t="shared" si="9"/>
        <v>93.878399999999999</v>
      </c>
      <c r="J308" s="21">
        <f>I308*I308</f>
        <v>8813.1539865600007</v>
      </c>
      <c r="K308" s="21">
        <v>80</v>
      </c>
      <c r="L308" s="22">
        <f t="shared" si="8"/>
        <v>9.0773405436917875E-3</v>
      </c>
      <c r="M308" s="16">
        <v>0</v>
      </c>
      <c r="N308" s="16">
        <v>0</v>
      </c>
      <c r="O308" s="22">
        <v>0</v>
      </c>
      <c r="P308" s="22">
        <v>0</v>
      </c>
      <c r="Q308" s="16">
        <v>8.6999999999999993</v>
      </c>
    </row>
    <row r="309" spans="1:17" s="22" customFormat="1" x14ac:dyDescent="0.3">
      <c r="A309" s="15">
        <v>307</v>
      </c>
      <c r="B309" s="40">
        <v>0</v>
      </c>
      <c r="C309" s="21">
        <v>0</v>
      </c>
      <c r="D309" s="18">
        <v>0</v>
      </c>
      <c r="E309" s="21">
        <v>50</v>
      </c>
      <c r="F309" s="21">
        <v>1</v>
      </c>
      <c r="G309" s="21">
        <v>5.5</v>
      </c>
      <c r="H309" s="22">
        <f>CONVERT(309,"ft","m")*100</f>
        <v>9418.32</v>
      </c>
      <c r="I309" s="21">
        <f t="shared" si="9"/>
        <v>94.183199999999999</v>
      </c>
      <c r="J309" s="21">
        <f>I309*I309</f>
        <v>8870.4751622399999</v>
      </c>
      <c r="K309" s="21">
        <v>90</v>
      </c>
      <c r="L309" s="22">
        <f t="shared" si="8"/>
        <v>1.0146017925072789E-2</v>
      </c>
      <c r="M309" s="16">
        <v>0</v>
      </c>
      <c r="N309" s="16">
        <v>0</v>
      </c>
      <c r="O309" s="22">
        <v>0</v>
      </c>
      <c r="P309" s="22">
        <v>0</v>
      </c>
      <c r="Q309" s="16">
        <v>8.6999999999999993</v>
      </c>
    </row>
    <row r="310" spans="1:17" s="22" customFormat="1" x14ac:dyDescent="0.3">
      <c r="A310" s="15">
        <v>308</v>
      </c>
      <c r="B310" s="40">
        <v>0</v>
      </c>
      <c r="C310" s="21">
        <v>1</v>
      </c>
      <c r="D310" s="18">
        <v>0</v>
      </c>
      <c r="E310" s="21">
        <v>30</v>
      </c>
      <c r="F310" s="21">
        <v>1</v>
      </c>
      <c r="G310" s="21">
        <v>4.9000000000000004</v>
      </c>
      <c r="H310" s="22">
        <f>CONVERT(310,"ft","m")*100</f>
        <v>9448.7999999999993</v>
      </c>
      <c r="I310" s="21">
        <f t="shared" si="9"/>
        <v>94.488</v>
      </c>
      <c r="J310" s="21">
        <f>I310*I310</f>
        <v>8927.9821439999996</v>
      </c>
      <c r="K310" s="21">
        <v>60</v>
      </c>
      <c r="L310" s="22">
        <f t="shared" si="8"/>
        <v>6.7204435484139787E-3</v>
      </c>
      <c r="M310" s="16">
        <v>0</v>
      </c>
      <c r="N310" s="16">
        <v>0</v>
      </c>
      <c r="O310" s="22">
        <v>0</v>
      </c>
      <c r="P310" s="22">
        <v>0</v>
      </c>
      <c r="Q310" s="16">
        <v>8.6999999999999993</v>
      </c>
    </row>
    <row r="311" spans="1:17" s="22" customFormat="1" x14ac:dyDescent="0.3">
      <c r="A311" s="15">
        <v>309</v>
      </c>
      <c r="B311" s="40">
        <v>0</v>
      </c>
      <c r="C311" s="21">
        <v>1</v>
      </c>
      <c r="D311" s="18">
        <v>0</v>
      </c>
      <c r="E311" s="21">
        <v>25</v>
      </c>
      <c r="F311" s="21">
        <v>1</v>
      </c>
      <c r="G311" s="21">
        <v>5</v>
      </c>
      <c r="H311" s="22">
        <f>CONVERT(311,"ft","m")*100</f>
        <v>9479.2800000000007</v>
      </c>
      <c r="I311" s="21">
        <f t="shared" si="9"/>
        <v>94.7928</v>
      </c>
      <c r="J311" s="21">
        <f>I311*I311</f>
        <v>8985.6749318399998</v>
      </c>
      <c r="K311" s="21">
        <v>66</v>
      </c>
      <c r="L311" s="22">
        <f t="shared" si="8"/>
        <v>7.3450242191751705E-3</v>
      </c>
      <c r="M311" s="16">
        <v>0</v>
      </c>
      <c r="N311" s="16">
        <v>0</v>
      </c>
      <c r="O311" s="22">
        <v>0</v>
      </c>
      <c r="P311" s="22">
        <v>0</v>
      </c>
      <c r="Q311" s="16">
        <v>8.6999999999999993</v>
      </c>
    </row>
    <row r="312" spans="1:17" s="22" customFormat="1" x14ac:dyDescent="0.3">
      <c r="A312" s="15">
        <v>310</v>
      </c>
      <c r="B312" s="40">
        <v>0</v>
      </c>
      <c r="C312" s="21">
        <v>1</v>
      </c>
      <c r="D312" s="18">
        <v>0</v>
      </c>
      <c r="E312" s="21">
        <v>40</v>
      </c>
      <c r="F312" s="21">
        <v>11</v>
      </c>
      <c r="G312" s="21">
        <v>5.5</v>
      </c>
      <c r="H312" s="22">
        <f>CONVERT(312,"ft","m")*100</f>
        <v>9509.76</v>
      </c>
      <c r="I312" s="21">
        <f t="shared" si="9"/>
        <v>95.0976</v>
      </c>
      <c r="J312" s="21">
        <f>I312*I312</f>
        <v>9043.5535257600004</v>
      </c>
      <c r="K312" s="21">
        <v>55</v>
      </c>
      <c r="L312" s="22">
        <f t="shared" si="8"/>
        <v>6.0816801540827855E-3</v>
      </c>
      <c r="M312" s="16">
        <v>0</v>
      </c>
      <c r="N312" s="16">
        <v>0</v>
      </c>
      <c r="O312" s="22">
        <v>0</v>
      </c>
      <c r="P312" s="22">
        <v>0</v>
      </c>
      <c r="Q312" s="16">
        <v>8.6999999999999993</v>
      </c>
    </row>
    <row r="313" spans="1:17" s="22" customFormat="1" x14ac:dyDescent="0.3">
      <c r="A313" s="15">
        <v>311</v>
      </c>
      <c r="B313" s="40">
        <v>0</v>
      </c>
      <c r="C313" s="21">
        <v>1</v>
      </c>
      <c r="D313" s="18">
        <v>0</v>
      </c>
      <c r="E313" s="21">
        <v>53</v>
      </c>
      <c r="F313" s="21">
        <v>4</v>
      </c>
      <c r="G313" s="21">
        <v>5</v>
      </c>
      <c r="H313" s="22">
        <f>CONVERT(313,"ft","m")*100</f>
        <v>9540.24</v>
      </c>
      <c r="I313" s="21">
        <f t="shared" si="9"/>
        <v>95.4024</v>
      </c>
      <c r="J313" s="21">
        <f>I313*I313</f>
        <v>9101.6179257599997</v>
      </c>
      <c r="K313" s="21">
        <v>60</v>
      </c>
      <c r="L313" s="22">
        <f t="shared" si="8"/>
        <v>6.592234533399171E-3</v>
      </c>
      <c r="M313" s="16">
        <v>0</v>
      </c>
      <c r="N313" s="16">
        <v>0</v>
      </c>
      <c r="O313" s="22">
        <v>0</v>
      </c>
      <c r="P313" s="22">
        <v>0</v>
      </c>
      <c r="Q313" s="16">
        <v>8.6999999999999993</v>
      </c>
    </row>
    <row r="314" spans="1:17" s="22" customFormat="1" x14ac:dyDescent="0.3">
      <c r="A314" s="15">
        <v>312</v>
      </c>
      <c r="B314" s="40">
        <v>0</v>
      </c>
      <c r="C314" s="21">
        <v>1</v>
      </c>
      <c r="D314" s="18">
        <v>0</v>
      </c>
      <c r="E314" s="21">
        <v>55</v>
      </c>
      <c r="F314" s="21">
        <v>5</v>
      </c>
      <c r="G314" s="21">
        <v>4.9000000000000004</v>
      </c>
      <c r="H314" s="22">
        <f>CONVERT(314,"ft","m")*100</f>
        <v>9570.7199999999993</v>
      </c>
      <c r="I314" s="21">
        <f t="shared" si="9"/>
        <v>95.7072</v>
      </c>
      <c r="J314" s="21">
        <f>I314*I314</f>
        <v>9159.8681318399995</v>
      </c>
      <c r="K314" s="21">
        <v>40</v>
      </c>
      <c r="L314" s="22">
        <f t="shared" si="8"/>
        <v>4.3668750929894608E-3</v>
      </c>
      <c r="M314" s="16">
        <v>0</v>
      </c>
      <c r="N314" s="16">
        <v>0</v>
      </c>
      <c r="O314" s="22">
        <v>0</v>
      </c>
      <c r="P314" s="22">
        <v>0</v>
      </c>
      <c r="Q314" s="16">
        <v>8.6999999999999993</v>
      </c>
    </row>
    <row r="315" spans="1:17" s="22" customFormat="1" x14ac:dyDescent="0.3">
      <c r="A315" s="15">
        <v>313</v>
      </c>
      <c r="B315" s="40">
        <v>0</v>
      </c>
      <c r="C315" s="21">
        <v>0</v>
      </c>
      <c r="D315" s="18">
        <v>0</v>
      </c>
      <c r="E315" s="21">
        <v>47</v>
      </c>
      <c r="F315" s="21">
        <v>12</v>
      </c>
      <c r="G315" s="21">
        <v>5.5</v>
      </c>
      <c r="H315" s="22">
        <f>CONVERT(315,"ft","m")*100</f>
        <v>9601.2000000000007</v>
      </c>
      <c r="I315" s="21">
        <f t="shared" si="9"/>
        <v>96.012</v>
      </c>
      <c r="J315" s="21">
        <f>I315*I315</f>
        <v>9218.3041439999997</v>
      </c>
      <c r="K315" s="21">
        <v>50</v>
      </c>
      <c r="L315" s="22">
        <f t="shared" si="8"/>
        <v>5.4239911396874391E-3</v>
      </c>
      <c r="M315" s="16">
        <v>0</v>
      </c>
      <c r="N315" s="16">
        <v>0</v>
      </c>
      <c r="O315" s="22">
        <v>0</v>
      </c>
      <c r="P315" s="22">
        <v>0</v>
      </c>
      <c r="Q315" s="16">
        <v>8.6999999999999993</v>
      </c>
    </row>
    <row r="316" spans="1:17" s="22" customFormat="1" x14ac:dyDescent="0.3">
      <c r="A316" s="15">
        <v>314</v>
      </c>
      <c r="B316" s="40">
        <v>0</v>
      </c>
      <c r="C316" s="21">
        <v>0</v>
      </c>
      <c r="D316" s="18">
        <v>0</v>
      </c>
      <c r="E316" s="21">
        <v>58</v>
      </c>
      <c r="F316" s="21">
        <v>11</v>
      </c>
      <c r="G316" s="21">
        <v>4.9000000000000004</v>
      </c>
      <c r="H316" s="22">
        <f>CONVERT(316,"ft","m")*100</f>
        <v>9631.68</v>
      </c>
      <c r="I316" s="21">
        <f t="shared" si="9"/>
        <v>96.316800000000001</v>
      </c>
      <c r="J316" s="21">
        <f>I316*I316</f>
        <v>9276.9259622400004</v>
      </c>
      <c r="K316" s="21">
        <v>50</v>
      </c>
      <c r="L316" s="22">
        <f t="shared" si="8"/>
        <v>5.3897163999708187E-3</v>
      </c>
      <c r="M316" s="16">
        <v>0</v>
      </c>
      <c r="N316" s="16">
        <v>0</v>
      </c>
      <c r="O316" s="22">
        <v>0</v>
      </c>
      <c r="P316" s="22">
        <v>0</v>
      </c>
      <c r="Q316" s="16">
        <v>8.6999999999999993</v>
      </c>
    </row>
    <row r="317" spans="1:17" s="22" customFormat="1" x14ac:dyDescent="0.3">
      <c r="A317" s="15">
        <v>315</v>
      </c>
      <c r="B317" s="40">
        <v>0</v>
      </c>
      <c r="C317" s="21">
        <v>0</v>
      </c>
      <c r="D317" s="18">
        <v>0</v>
      </c>
      <c r="E317" s="21">
        <v>55</v>
      </c>
      <c r="F317" s="21">
        <v>11</v>
      </c>
      <c r="G317" s="21">
        <v>4.9000000000000004</v>
      </c>
      <c r="H317" s="22">
        <f>CONVERT(317,"ft","m")*100</f>
        <v>9662.16</v>
      </c>
      <c r="I317" s="21">
        <f t="shared" si="9"/>
        <v>96.621600000000001</v>
      </c>
      <c r="J317" s="21">
        <f>I317*I317</f>
        <v>9335.7335865599998</v>
      </c>
      <c r="K317" s="21">
        <v>60</v>
      </c>
      <c r="L317" s="22">
        <f t="shared" si="8"/>
        <v>6.4269186179838926E-3</v>
      </c>
      <c r="M317" s="16">
        <v>0</v>
      </c>
      <c r="N317" s="16">
        <v>0</v>
      </c>
      <c r="O317" s="22">
        <v>0</v>
      </c>
      <c r="P317" s="22">
        <v>0</v>
      </c>
      <c r="Q317" s="16">
        <v>8.6999999999999993</v>
      </c>
    </row>
    <row r="318" spans="1:17" s="22" customFormat="1" ht="15.6" x14ac:dyDescent="0.3">
      <c r="A318" s="15">
        <v>316</v>
      </c>
      <c r="B318" s="40">
        <v>0</v>
      </c>
      <c r="C318" s="21">
        <v>0</v>
      </c>
      <c r="D318" s="18">
        <v>0</v>
      </c>
      <c r="E318" s="21">
        <v>70</v>
      </c>
      <c r="F318" s="23">
        <v>11</v>
      </c>
      <c r="G318" s="21">
        <v>6</v>
      </c>
      <c r="H318" s="22">
        <f>CONVERT(318,"ft","m")*100</f>
        <v>9692.64</v>
      </c>
      <c r="I318" s="21">
        <f t="shared" si="9"/>
        <v>96.926400000000001</v>
      </c>
      <c r="J318" s="21">
        <f>I318*I318</f>
        <v>9394.7270169599997</v>
      </c>
      <c r="K318" s="21">
        <v>55</v>
      </c>
      <c r="L318" s="22">
        <f t="shared" si="8"/>
        <v>5.8543478592523509E-3</v>
      </c>
      <c r="M318" s="16">
        <v>0</v>
      </c>
      <c r="N318" s="16">
        <v>0</v>
      </c>
      <c r="O318" s="22">
        <v>0</v>
      </c>
      <c r="P318" s="22">
        <v>0</v>
      </c>
      <c r="Q318" s="16">
        <v>8.6999999999999993</v>
      </c>
    </row>
    <row r="319" spans="1:17" s="22" customFormat="1" ht="15.6" x14ac:dyDescent="0.3">
      <c r="A319" s="15">
        <v>317</v>
      </c>
      <c r="B319" s="40">
        <v>0</v>
      </c>
      <c r="C319" s="21">
        <v>1</v>
      </c>
      <c r="D319" s="18">
        <v>0</v>
      </c>
      <c r="E319" s="21">
        <v>77</v>
      </c>
      <c r="F319" s="23">
        <v>1</v>
      </c>
      <c r="G319" s="21">
        <v>5.5</v>
      </c>
      <c r="H319" s="22">
        <f>CONVERT(319,"ft","m")*100</f>
        <v>9723.1200000000008</v>
      </c>
      <c r="I319" s="21">
        <f t="shared" si="9"/>
        <v>97.231200000000001</v>
      </c>
      <c r="J319" s="21">
        <f>I319*I319</f>
        <v>9453.90625344</v>
      </c>
      <c r="K319" s="21">
        <v>60</v>
      </c>
      <c r="L319" s="22">
        <f t="shared" si="8"/>
        <v>6.3465829247214877E-3</v>
      </c>
      <c r="M319" s="16">
        <v>0</v>
      </c>
      <c r="N319" s="16">
        <v>0</v>
      </c>
      <c r="O319" s="22">
        <v>0</v>
      </c>
      <c r="P319" s="22">
        <v>0</v>
      </c>
      <c r="Q319" s="16">
        <v>8.6999999999999993</v>
      </c>
    </row>
    <row r="320" spans="1:17" s="22" customFormat="1" ht="15.6" x14ac:dyDescent="0.3">
      <c r="A320" s="15">
        <v>318</v>
      </c>
      <c r="B320" s="40">
        <v>0</v>
      </c>
      <c r="C320" s="21">
        <v>1</v>
      </c>
      <c r="D320" s="18">
        <v>0</v>
      </c>
      <c r="E320" s="21">
        <v>56</v>
      </c>
      <c r="F320" s="23">
        <v>12</v>
      </c>
      <c r="G320" s="21">
        <v>5.3</v>
      </c>
      <c r="H320" s="22">
        <f>CONVERT(320,"ft","m")*100</f>
        <v>9753.6</v>
      </c>
      <c r="I320" s="21">
        <f t="shared" si="9"/>
        <v>97.536000000000001</v>
      </c>
      <c r="J320" s="21">
        <f>I320*I320</f>
        <v>9513.2712960000008</v>
      </c>
      <c r="K320" s="21">
        <v>70</v>
      </c>
      <c r="L320" s="22">
        <f t="shared" si="8"/>
        <v>7.3581418864226613E-3</v>
      </c>
      <c r="M320" s="16">
        <v>0</v>
      </c>
      <c r="N320" s="16">
        <v>0</v>
      </c>
      <c r="O320" s="22">
        <v>0</v>
      </c>
      <c r="P320" s="22">
        <v>0</v>
      </c>
      <c r="Q320" s="16">
        <v>8.6999999999999993</v>
      </c>
    </row>
    <row r="321" spans="1:17" s="22" customFormat="1" ht="15.6" x14ac:dyDescent="0.3">
      <c r="A321" s="15">
        <v>319</v>
      </c>
      <c r="B321" s="40">
        <v>0</v>
      </c>
      <c r="C321" s="21">
        <v>0</v>
      </c>
      <c r="D321" s="18">
        <v>0</v>
      </c>
      <c r="E321" s="21">
        <v>45</v>
      </c>
      <c r="F321" s="23">
        <v>4</v>
      </c>
      <c r="G321" s="21">
        <v>4.9000000000000004</v>
      </c>
      <c r="H321" s="22">
        <f>CONVERT(321,"ft","m")*100</f>
        <v>9784.08</v>
      </c>
      <c r="I321" s="21">
        <f t="shared" si="9"/>
        <v>97.840800000000002</v>
      </c>
      <c r="J321" s="21">
        <f>I321*I321</f>
        <v>9572.8221446400003</v>
      </c>
      <c r="K321" s="21">
        <v>80</v>
      </c>
      <c r="L321" s="22">
        <f t="shared" si="8"/>
        <v>8.3569922005490797E-3</v>
      </c>
      <c r="M321" s="16">
        <v>0</v>
      </c>
      <c r="N321" s="16">
        <v>0</v>
      </c>
      <c r="O321" s="22">
        <v>0</v>
      </c>
      <c r="P321" s="22">
        <v>0</v>
      </c>
      <c r="Q321" s="16">
        <v>8.6999999999999993</v>
      </c>
    </row>
    <row r="322" spans="1:17" s="22" customFormat="1" ht="15.6" x14ac:dyDescent="0.3">
      <c r="A322" s="15">
        <v>320</v>
      </c>
      <c r="B322" s="40">
        <v>0</v>
      </c>
      <c r="C322" s="21">
        <v>0</v>
      </c>
      <c r="D322" s="18">
        <v>0</v>
      </c>
      <c r="E322" s="21">
        <v>67</v>
      </c>
      <c r="F322" s="23">
        <v>1</v>
      </c>
      <c r="G322" s="21">
        <v>5.5</v>
      </c>
      <c r="H322" s="22">
        <f>CONVERT(322,"ft","m")*100</f>
        <v>9814.56</v>
      </c>
      <c r="I322" s="21">
        <f t="shared" ref="I322:I385" si="10">H322/100</f>
        <v>98.145600000000002</v>
      </c>
      <c r="J322" s="21">
        <f>I322*I322</f>
        <v>9632.5587993600002</v>
      </c>
      <c r="K322" s="21">
        <v>90</v>
      </c>
      <c r="L322" s="22">
        <f t="shared" ref="L322:L385" si="11">K322/J322</f>
        <v>9.3433117694521339E-3</v>
      </c>
      <c r="M322" s="16">
        <v>0</v>
      </c>
      <c r="N322" s="16">
        <v>0</v>
      </c>
      <c r="O322" s="22">
        <v>0</v>
      </c>
      <c r="P322" s="22">
        <v>0</v>
      </c>
      <c r="Q322" s="16">
        <v>8.6999999999999993</v>
      </c>
    </row>
    <row r="323" spans="1:17" s="22" customFormat="1" ht="15.6" x14ac:dyDescent="0.3">
      <c r="A323" s="15">
        <v>321</v>
      </c>
      <c r="B323" s="40">
        <v>0</v>
      </c>
      <c r="C323" s="21">
        <v>0</v>
      </c>
      <c r="D323" s="18">
        <v>0</v>
      </c>
      <c r="E323" s="21">
        <v>76</v>
      </c>
      <c r="F323" s="23">
        <v>8</v>
      </c>
      <c r="G323" s="21">
        <v>5.3</v>
      </c>
      <c r="H323" s="22">
        <f>CONVERT(323,"ft","m")*100</f>
        <v>9845.0400000000009</v>
      </c>
      <c r="I323" s="21">
        <f t="shared" si="10"/>
        <v>98.450400000000002</v>
      </c>
      <c r="J323" s="21">
        <f>I323*I323</f>
        <v>9692.4812601600006</v>
      </c>
      <c r="K323" s="21">
        <v>65</v>
      </c>
      <c r="L323" s="22">
        <f t="shared" si="11"/>
        <v>6.7062291125778248E-3</v>
      </c>
      <c r="M323" s="16">
        <v>0</v>
      </c>
      <c r="N323" s="16">
        <v>0</v>
      </c>
      <c r="O323" s="22">
        <v>0</v>
      </c>
      <c r="P323" s="22">
        <v>0</v>
      </c>
      <c r="Q323" s="16">
        <v>9</v>
      </c>
    </row>
    <row r="324" spans="1:17" s="22" customFormat="1" ht="15.6" x14ac:dyDescent="0.3">
      <c r="A324" s="15">
        <v>322</v>
      </c>
      <c r="B324" s="40">
        <v>0</v>
      </c>
      <c r="C324" s="21">
        <v>1</v>
      </c>
      <c r="D324" s="18">
        <v>0</v>
      </c>
      <c r="E324" s="21">
        <v>54</v>
      </c>
      <c r="F324" s="23">
        <v>14</v>
      </c>
      <c r="G324" s="21">
        <v>5.5</v>
      </c>
      <c r="H324" s="22">
        <f>CONVERT(324,"ft","m")*100</f>
        <v>9875.52</v>
      </c>
      <c r="I324" s="21">
        <f t="shared" si="10"/>
        <v>98.755200000000002</v>
      </c>
      <c r="J324" s="21">
        <f>I324*I324</f>
        <v>9752.5895270399997</v>
      </c>
      <c r="K324" s="21">
        <v>65</v>
      </c>
      <c r="L324" s="22">
        <f t="shared" si="11"/>
        <v>6.6648965200248817E-3</v>
      </c>
      <c r="M324" s="16">
        <v>0</v>
      </c>
      <c r="N324" s="16">
        <v>0</v>
      </c>
      <c r="O324" s="22">
        <v>0</v>
      </c>
      <c r="P324" s="22">
        <v>0</v>
      </c>
      <c r="Q324" s="16">
        <v>9</v>
      </c>
    </row>
    <row r="325" spans="1:17" s="22" customFormat="1" ht="15.6" x14ac:dyDescent="0.3">
      <c r="A325" s="15">
        <v>323</v>
      </c>
      <c r="B325" s="40">
        <v>0</v>
      </c>
      <c r="C325" s="21">
        <v>0</v>
      </c>
      <c r="D325" s="18">
        <v>0</v>
      </c>
      <c r="E325" s="21">
        <v>55</v>
      </c>
      <c r="F325" s="23">
        <v>1</v>
      </c>
      <c r="G325" s="21">
        <v>4.9000000000000004</v>
      </c>
      <c r="H325" s="22">
        <f>CONVERT(325,"ft","m")*100</f>
        <v>9906</v>
      </c>
      <c r="I325" s="21">
        <f t="shared" si="10"/>
        <v>99.06</v>
      </c>
      <c r="J325" s="21">
        <f>I325*I325</f>
        <v>9812.883600000001</v>
      </c>
      <c r="K325" s="21">
        <v>68</v>
      </c>
      <c r="L325" s="22">
        <f t="shared" si="11"/>
        <v>6.9296654043669685E-3</v>
      </c>
      <c r="M325" s="16">
        <v>0</v>
      </c>
      <c r="N325" s="16">
        <v>0</v>
      </c>
      <c r="O325" s="22">
        <v>0</v>
      </c>
      <c r="P325" s="22">
        <v>0</v>
      </c>
      <c r="Q325" s="16">
        <v>9</v>
      </c>
    </row>
    <row r="326" spans="1:17" s="22" customFormat="1" ht="15.6" x14ac:dyDescent="0.3">
      <c r="A326" s="15">
        <v>324</v>
      </c>
      <c r="B326" s="40">
        <v>0</v>
      </c>
      <c r="C326" s="21">
        <v>1</v>
      </c>
      <c r="D326" s="18">
        <v>0</v>
      </c>
      <c r="E326" s="21">
        <v>66</v>
      </c>
      <c r="F326" s="23">
        <v>8</v>
      </c>
      <c r="G326" s="21">
        <v>5.5</v>
      </c>
      <c r="H326" s="22">
        <f>CONVERT(326,"ft","m")*100</f>
        <v>9936.48</v>
      </c>
      <c r="I326" s="21">
        <f t="shared" si="10"/>
        <v>99.364800000000002</v>
      </c>
      <c r="J326" s="21">
        <f>I326*I326</f>
        <v>9873.363479040001</v>
      </c>
      <c r="K326" s="21">
        <v>70</v>
      </c>
      <c r="L326" s="22">
        <f t="shared" si="11"/>
        <v>7.0897825395167344E-3</v>
      </c>
      <c r="M326" s="16">
        <v>0</v>
      </c>
      <c r="N326" s="16">
        <v>0</v>
      </c>
      <c r="O326" s="22">
        <v>0</v>
      </c>
      <c r="P326" s="22">
        <v>0</v>
      </c>
      <c r="Q326" s="16">
        <v>9</v>
      </c>
    </row>
    <row r="327" spans="1:17" s="22" customFormat="1" ht="15.6" x14ac:dyDescent="0.3">
      <c r="A327" s="15">
        <v>325</v>
      </c>
      <c r="B327" s="40">
        <v>0</v>
      </c>
      <c r="C327" s="21">
        <v>2</v>
      </c>
      <c r="D327" s="18">
        <v>0</v>
      </c>
      <c r="E327" s="21">
        <v>85</v>
      </c>
      <c r="F327" s="23">
        <v>5</v>
      </c>
      <c r="G327" s="21">
        <v>5</v>
      </c>
      <c r="H327" s="22">
        <f>CONVERT(327,"ft","m")*100</f>
        <v>9966.9600000000009</v>
      </c>
      <c r="I327" s="21">
        <f t="shared" si="10"/>
        <v>99.669600000000003</v>
      </c>
      <c r="J327" s="21">
        <f>I327*I327</f>
        <v>9934.0291641599997</v>
      </c>
      <c r="K327" s="21">
        <v>55</v>
      </c>
      <c r="L327" s="22">
        <f t="shared" si="11"/>
        <v>5.5365249176466133E-3</v>
      </c>
      <c r="M327" s="16">
        <v>0</v>
      </c>
      <c r="N327" s="16">
        <v>0</v>
      </c>
      <c r="O327" s="22">
        <v>0</v>
      </c>
      <c r="P327" s="22">
        <v>0</v>
      </c>
      <c r="Q327" s="16">
        <v>9</v>
      </c>
    </row>
    <row r="328" spans="1:17" s="22" customFormat="1" ht="15.6" x14ac:dyDescent="0.3">
      <c r="A328" s="15">
        <v>326</v>
      </c>
      <c r="B328" s="40">
        <v>0</v>
      </c>
      <c r="C328" s="21">
        <v>1</v>
      </c>
      <c r="D328" s="18">
        <v>0</v>
      </c>
      <c r="E328" s="21">
        <v>67</v>
      </c>
      <c r="F328" s="23">
        <v>12</v>
      </c>
      <c r="G328" s="21">
        <v>5.5</v>
      </c>
      <c r="H328" s="22">
        <f>CONVERT(328,"ft","m")*100</f>
        <v>9997.44</v>
      </c>
      <c r="I328" s="21">
        <f t="shared" si="10"/>
        <v>99.974400000000003</v>
      </c>
      <c r="J328" s="21">
        <f>I328*I328</f>
        <v>9994.8806553600007</v>
      </c>
      <c r="K328" s="21">
        <v>55</v>
      </c>
      <c r="L328" s="22">
        <f t="shared" si="11"/>
        <v>5.5028170817132162E-3</v>
      </c>
      <c r="M328" s="16">
        <v>0</v>
      </c>
      <c r="N328" s="16">
        <v>0</v>
      </c>
      <c r="O328" s="22">
        <v>0</v>
      </c>
      <c r="P328" s="22">
        <v>0</v>
      </c>
      <c r="Q328" s="16">
        <v>9</v>
      </c>
    </row>
    <row r="329" spans="1:17" s="22" customFormat="1" ht="15.6" x14ac:dyDescent="0.3">
      <c r="A329" s="15">
        <v>327</v>
      </c>
      <c r="B329" s="40">
        <v>0</v>
      </c>
      <c r="C329" s="21">
        <v>0</v>
      </c>
      <c r="D329" s="18">
        <v>0</v>
      </c>
      <c r="E329" s="21">
        <v>65</v>
      </c>
      <c r="F329" s="23">
        <v>1</v>
      </c>
      <c r="G329" s="21">
        <v>5.5</v>
      </c>
      <c r="H329" s="22">
        <f>CONVERT(329,"ft","m")*100</f>
        <v>10027.92</v>
      </c>
      <c r="I329" s="21">
        <f t="shared" si="10"/>
        <v>100.2792</v>
      </c>
      <c r="J329" s="21">
        <f>I329*I329</f>
        <v>10055.91795264</v>
      </c>
      <c r="K329" s="21">
        <v>67</v>
      </c>
      <c r="L329" s="22">
        <f t="shared" si="11"/>
        <v>6.6627433035499617E-3</v>
      </c>
      <c r="M329" s="16">
        <v>0</v>
      </c>
      <c r="N329" s="16">
        <v>0</v>
      </c>
      <c r="O329" s="22">
        <v>0</v>
      </c>
      <c r="P329" s="22">
        <v>0</v>
      </c>
      <c r="Q329" s="16">
        <v>9</v>
      </c>
    </row>
    <row r="330" spans="1:17" s="22" customFormat="1" ht="15.6" x14ac:dyDescent="0.3">
      <c r="A330" s="15">
        <v>328</v>
      </c>
      <c r="B330" s="40">
        <v>0</v>
      </c>
      <c r="C330" s="21">
        <v>2</v>
      </c>
      <c r="D330" s="18">
        <v>0</v>
      </c>
      <c r="E330" s="21">
        <v>65</v>
      </c>
      <c r="F330" s="23">
        <v>1</v>
      </c>
      <c r="G330" s="21">
        <v>4.9000000000000004</v>
      </c>
      <c r="H330" s="22">
        <f>CONVERT(330,"ft","m")*100</f>
        <v>10058.4</v>
      </c>
      <c r="I330" s="21">
        <f t="shared" si="10"/>
        <v>100.584</v>
      </c>
      <c r="J330" s="21">
        <f>I330*I330</f>
        <v>10117.141056</v>
      </c>
      <c r="K330" s="21">
        <v>68</v>
      </c>
      <c r="L330" s="22">
        <f t="shared" si="11"/>
        <v>6.7212663759068968E-3</v>
      </c>
      <c r="M330" s="16">
        <v>0</v>
      </c>
      <c r="N330" s="16">
        <v>0</v>
      </c>
      <c r="O330" s="22">
        <v>0</v>
      </c>
      <c r="P330" s="22">
        <v>0</v>
      </c>
      <c r="Q330" s="16">
        <v>9</v>
      </c>
    </row>
    <row r="331" spans="1:17" s="22" customFormat="1" ht="15.6" x14ac:dyDescent="0.3">
      <c r="A331" s="15">
        <v>329</v>
      </c>
      <c r="B331" s="40">
        <v>0</v>
      </c>
      <c r="C331" s="21">
        <v>1</v>
      </c>
      <c r="D331" s="18">
        <v>0</v>
      </c>
      <c r="E331" s="21">
        <v>65</v>
      </c>
      <c r="F331" s="23">
        <v>1</v>
      </c>
      <c r="G331" s="21">
        <v>5</v>
      </c>
      <c r="H331" s="22">
        <f>CONVERT(331,"ft","m")*100</f>
        <v>10088.880000000001</v>
      </c>
      <c r="I331" s="21">
        <f t="shared" si="10"/>
        <v>100.8888</v>
      </c>
      <c r="J331" s="21">
        <f>I331*I331</f>
        <v>10178.549965440001</v>
      </c>
      <c r="K331" s="21">
        <v>69</v>
      </c>
      <c r="L331" s="22">
        <f t="shared" si="11"/>
        <v>6.7789616629363621E-3</v>
      </c>
      <c r="M331" s="16">
        <v>0</v>
      </c>
      <c r="N331" s="16">
        <v>0</v>
      </c>
      <c r="O331" s="22">
        <v>0</v>
      </c>
      <c r="P331" s="22">
        <v>0</v>
      </c>
      <c r="Q331" s="16">
        <v>9</v>
      </c>
    </row>
    <row r="332" spans="1:17" s="22" customFormat="1" ht="15.6" x14ac:dyDescent="0.3">
      <c r="A332" s="15">
        <v>330</v>
      </c>
      <c r="B332" s="40">
        <v>0</v>
      </c>
      <c r="C332" s="21">
        <v>1</v>
      </c>
      <c r="D332" s="18">
        <v>0</v>
      </c>
      <c r="E332" s="21">
        <v>44</v>
      </c>
      <c r="F332" s="23">
        <v>1</v>
      </c>
      <c r="G332" s="21">
        <v>5.5</v>
      </c>
      <c r="H332" s="22">
        <f>CONVERT(332,"ft","m")*100</f>
        <v>10119.36</v>
      </c>
      <c r="I332" s="21">
        <f t="shared" si="10"/>
        <v>101.1936</v>
      </c>
      <c r="J332" s="21">
        <f>I332*I332</f>
        <v>10240.14468096</v>
      </c>
      <c r="K332" s="21">
        <v>80</v>
      </c>
      <c r="L332" s="22">
        <f t="shared" si="11"/>
        <v>7.8123896187470765E-3</v>
      </c>
      <c r="M332" s="16">
        <v>0</v>
      </c>
      <c r="N332" s="16">
        <v>0</v>
      </c>
      <c r="O332" s="22">
        <v>0</v>
      </c>
      <c r="P332" s="22">
        <v>0</v>
      </c>
      <c r="Q332" s="16">
        <v>9</v>
      </c>
    </row>
    <row r="333" spans="1:17" s="22" customFormat="1" ht="15.6" x14ac:dyDescent="0.3">
      <c r="A333" s="15">
        <v>331</v>
      </c>
      <c r="B333" s="40">
        <v>0</v>
      </c>
      <c r="C333" s="21">
        <v>0</v>
      </c>
      <c r="D333" s="18">
        <v>0</v>
      </c>
      <c r="E333" s="21">
        <v>50</v>
      </c>
      <c r="F333" s="23">
        <v>1</v>
      </c>
      <c r="G333" s="21">
        <v>5.5</v>
      </c>
      <c r="H333" s="22">
        <f>CONVERT(333,"ft","m")*100</f>
        <v>10149.84</v>
      </c>
      <c r="I333" s="21">
        <f t="shared" si="10"/>
        <v>101.4984</v>
      </c>
      <c r="J333" s="21">
        <f>I333*I333</f>
        <v>10301.92520256</v>
      </c>
      <c r="K333" s="21">
        <v>90</v>
      </c>
      <c r="L333" s="22">
        <f t="shared" si="11"/>
        <v>8.7362311636309739E-3</v>
      </c>
      <c r="M333" s="16">
        <v>0</v>
      </c>
      <c r="N333" s="16">
        <v>0</v>
      </c>
      <c r="O333" s="22">
        <v>0</v>
      </c>
      <c r="P333" s="22">
        <v>0</v>
      </c>
      <c r="Q333" s="16">
        <v>9</v>
      </c>
    </row>
    <row r="334" spans="1:17" s="22" customFormat="1" ht="15.6" x14ac:dyDescent="0.3">
      <c r="A334" s="15">
        <v>332</v>
      </c>
      <c r="B334" s="40">
        <v>0</v>
      </c>
      <c r="C334" s="21">
        <v>0</v>
      </c>
      <c r="D334" s="18">
        <v>0</v>
      </c>
      <c r="E334" s="21">
        <v>30</v>
      </c>
      <c r="F334" s="23">
        <v>1</v>
      </c>
      <c r="G334" s="21">
        <v>4.9000000000000004</v>
      </c>
      <c r="H334" s="22">
        <f>CONVERT(334,"ft","m")*100</f>
        <v>10180.32</v>
      </c>
      <c r="I334" s="21">
        <f t="shared" si="10"/>
        <v>101.8032</v>
      </c>
      <c r="J334" s="21">
        <f>I334*I334</f>
        <v>10363.89153024</v>
      </c>
      <c r="K334" s="21">
        <v>60</v>
      </c>
      <c r="L334" s="22">
        <f t="shared" si="11"/>
        <v>5.7893311431261732E-3</v>
      </c>
      <c r="M334" s="16">
        <v>0</v>
      </c>
      <c r="N334" s="16">
        <v>0</v>
      </c>
      <c r="O334" s="22">
        <v>0</v>
      </c>
      <c r="P334" s="22">
        <v>0</v>
      </c>
      <c r="Q334" s="16">
        <v>9</v>
      </c>
    </row>
    <row r="335" spans="1:17" s="22" customFormat="1" ht="15.6" x14ac:dyDescent="0.3">
      <c r="A335" s="15">
        <v>333</v>
      </c>
      <c r="B335" s="40">
        <v>0</v>
      </c>
      <c r="C335" s="21">
        <v>0</v>
      </c>
      <c r="D335" s="18">
        <v>0</v>
      </c>
      <c r="E335" s="21">
        <v>25</v>
      </c>
      <c r="F335" s="23">
        <v>8</v>
      </c>
      <c r="G335" s="21">
        <v>5</v>
      </c>
      <c r="H335" s="22">
        <f>CONVERT(335,"ft","m")*100</f>
        <v>10210.800000000001</v>
      </c>
      <c r="I335" s="21">
        <f t="shared" si="10"/>
        <v>102.108</v>
      </c>
      <c r="J335" s="21">
        <f>I335*I335</f>
        <v>10426.043664000001</v>
      </c>
      <c r="K335" s="21">
        <v>66</v>
      </c>
      <c r="L335" s="22">
        <f t="shared" si="11"/>
        <v>6.3303015148393109E-3</v>
      </c>
      <c r="M335" s="16">
        <v>0</v>
      </c>
      <c r="N335" s="16">
        <v>0</v>
      </c>
      <c r="O335" s="22">
        <v>0</v>
      </c>
      <c r="P335" s="22">
        <v>0</v>
      </c>
      <c r="Q335" s="16">
        <v>9</v>
      </c>
    </row>
    <row r="336" spans="1:17" s="22" customFormat="1" ht="15.6" x14ac:dyDescent="0.3">
      <c r="A336" s="15">
        <v>334</v>
      </c>
      <c r="B336" s="40">
        <v>0</v>
      </c>
      <c r="C336" s="21">
        <v>0</v>
      </c>
      <c r="D336" s="18">
        <v>0</v>
      </c>
      <c r="E336" s="21">
        <v>40</v>
      </c>
      <c r="F336" s="23">
        <v>8</v>
      </c>
      <c r="G336" s="21">
        <v>5.5</v>
      </c>
      <c r="H336" s="22">
        <f>CONVERT(336,"ft","m")*100</f>
        <v>10241.280000000001</v>
      </c>
      <c r="I336" s="21">
        <f t="shared" si="10"/>
        <v>102.4128</v>
      </c>
      <c r="J336" s="21">
        <f>I336*I336</f>
        <v>10488.38160384</v>
      </c>
      <c r="K336" s="21">
        <v>55</v>
      </c>
      <c r="L336" s="22">
        <f t="shared" si="11"/>
        <v>5.2438976838775041E-3</v>
      </c>
      <c r="M336" s="16">
        <v>0</v>
      </c>
      <c r="N336" s="16">
        <v>0</v>
      </c>
      <c r="O336" s="22">
        <v>0</v>
      </c>
      <c r="P336" s="22">
        <v>0</v>
      </c>
      <c r="Q336" s="16">
        <v>9</v>
      </c>
    </row>
    <row r="337" spans="1:17" s="22" customFormat="1" ht="15.6" x14ac:dyDescent="0.3">
      <c r="A337" s="15">
        <v>335</v>
      </c>
      <c r="B337" s="40">
        <v>0</v>
      </c>
      <c r="C337" s="21">
        <v>1</v>
      </c>
      <c r="D337" s="18">
        <v>0</v>
      </c>
      <c r="E337" s="21">
        <v>53</v>
      </c>
      <c r="F337" s="23">
        <v>1</v>
      </c>
      <c r="G337" s="21">
        <v>5</v>
      </c>
      <c r="H337" s="22">
        <f>CONVERT(337,"ft","m")*100</f>
        <v>10271.76</v>
      </c>
      <c r="I337" s="21">
        <f t="shared" si="10"/>
        <v>102.7176</v>
      </c>
      <c r="J337" s="21">
        <f>I337*I337</f>
        <v>10550.905349760002</v>
      </c>
      <c r="K337" s="21">
        <v>60</v>
      </c>
      <c r="L337" s="22">
        <f t="shared" si="11"/>
        <v>5.686715785140164E-3</v>
      </c>
      <c r="M337" s="16">
        <v>0</v>
      </c>
      <c r="N337" s="16">
        <v>0</v>
      </c>
      <c r="O337" s="22">
        <v>0</v>
      </c>
      <c r="P337" s="22">
        <v>0</v>
      </c>
      <c r="Q337" s="16">
        <v>9</v>
      </c>
    </row>
    <row r="338" spans="1:17" s="22" customFormat="1" ht="15.6" x14ac:dyDescent="0.3">
      <c r="A338" s="15">
        <v>336</v>
      </c>
      <c r="B338" s="40">
        <v>0</v>
      </c>
      <c r="C338" s="21">
        <v>1</v>
      </c>
      <c r="D338" s="18">
        <v>0</v>
      </c>
      <c r="E338" s="21">
        <v>55</v>
      </c>
      <c r="F338" s="23">
        <v>1</v>
      </c>
      <c r="G338" s="21">
        <v>4.9000000000000004</v>
      </c>
      <c r="H338" s="22">
        <f>CONVERT(338,"ft","m")*100</f>
        <v>10302.24</v>
      </c>
      <c r="I338" s="21">
        <f t="shared" si="10"/>
        <v>103.0224</v>
      </c>
      <c r="J338" s="21">
        <f>I338*I338</f>
        <v>10613.61490176</v>
      </c>
      <c r="K338" s="21">
        <v>40</v>
      </c>
      <c r="L338" s="22">
        <f t="shared" si="11"/>
        <v>3.7687442374950884E-3</v>
      </c>
      <c r="M338" s="16">
        <v>0</v>
      </c>
      <c r="N338" s="16">
        <v>0</v>
      </c>
      <c r="O338" s="22">
        <v>0</v>
      </c>
      <c r="P338" s="22">
        <v>0</v>
      </c>
      <c r="Q338" s="22">
        <v>9.6</v>
      </c>
    </row>
    <row r="339" spans="1:17" s="22" customFormat="1" ht="15.6" x14ac:dyDescent="0.3">
      <c r="A339" s="15">
        <v>337</v>
      </c>
      <c r="B339" s="40">
        <v>0</v>
      </c>
      <c r="C339" s="21">
        <v>1</v>
      </c>
      <c r="D339" s="18">
        <v>0</v>
      </c>
      <c r="E339" s="21">
        <v>47</v>
      </c>
      <c r="F339" s="23">
        <v>11</v>
      </c>
      <c r="G339" s="21">
        <v>5.5</v>
      </c>
      <c r="H339" s="22">
        <f>CONVERT(339,"ft","m")*100</f>
        <v>10332.720000000001</v>
      </c>
      <c r="I339" s="21">
        <f t="shared" si="10"/>
        <v>103.3272</v>
      </c>
      <c r="J339" s="21">
        <f>I339*I339</f>
        <v>10676.510259840001</v>
      </c>
      <c r="K339" s="21">
        <v>50</v>
      </c>
      <c r="L339" s="22">
        <f t="shared" si="11"/>
        <v>4.6831781905438173E-3</v>
      </c>
      <c r="M339" s="16">
        <v>0</v>
      </c>
      <c r="N339" s="16">
        <v>0</v>
      </c>
      <c r="O339" s="22">
        <v>0</v>
      </c>
      <c r="P339" s="22">
        <v>0</v>
      </c>
      <c r="Q339" s="22">
        <v>9.6</v>
      </c>
    </row>
    <row r="340" spans="1:17" s="22" customFormat="1" ht="15.6" x14ac:dyDescent="0.3">
      <c r="A340" s="15">
        <v>338</v>
      </c>
      <c r="B340" s="40">
        <v>0</v>
      </c>
      <c r="C340" s="21">
        <v>1</v>
      </c>
      <c r="D340" s="18">
        <v>0</v>
      </c>
      <c r="E340" s="21">
        <v>58</v>
      </c>
      <c r="F340" s="23">
        <v>7</v>
      </c>
      <c r="G340" s="21">
        <v>4.9000000000000004</v>
      </c>
      <c r="H340" s="22">
        <f>CONVERT(340,"ft","m")*100</f>
        <v>10363.200000000001</v>
      </c>
      <c r="I340" s="21">
        <f t="shared" si="10"/>
        <v>103.63200000000001</v>
      </c>
      <c r="J340" s="21">
        <f>I340*I340</f>
        <v>10739.591424</v>
      </c>
      <c r="K340" s="21">
        <v>50</v>
      </c>
      <c r="L340" s="22">
        <f t="shared" si="11"/>
        <v>4.6556705954626824E-3</v>
      </c>
      <c r="M340" s="16">
        <v>0</v>
      </c>
      <c r="N340" s="16">
        <v>0</v>
      </c>
      <c r="O340" s="22">
        <v>0</v>
      </c>
      <c r="P340" s="22">
        <v>0</v>
      </c>
      <c r="Q340" s="22">
        <v>9.6</v>
      </c>
    </row>
    <row r="341" spans="1:17" s="22" customFormat="1" ht="15.6" x14ac:dyDescent="0.3">
      <c r="A341" s="15">
        <v>339</v>
      </c>
      <c r="B341" s="40">
        <v>0</v>
      </c>
      <c r="C341" s="21">
        <v>1</v>
      </c>
      <c r="D341" s="18">
        <v>0</v>
      </c>
      <c r="E341" s="21">
        <v>55</v>
      </c>
      <c r="F341" s="23">
        <v>1</v>
      </c>
      <c r="G341" s="21">
        <v>4.9000000000000004</v>
      </c>
      <c r="H341" s="22">
        <f>CONVERT(341,"ft","m")*100</f>
        <v>10393.68</v>
      </c>
      <c r="I341" s="21">
        <f t="shared" si="10"/>
        <v>103.93680000000001</v>
      </c>
      <c r="J341" s="21">
        <f>I341*I341</f>
        <v>10802.858394240002</v>
      </c>
      <c r="K341" s="21">
        <v>60</v>
      </c>
      <c r="L341" s="22">
        <f t="shared" si="11"/>
        <v>5.554085577201634E-3</v>
      </c>
      <c r="M341" s="16">
        <v>0</v>
      </c>
      <c r="N341" s="16">
        <v>0</v>
      </c>
      <c r="O341" s="22">
        <v>0</v>
      </c>
      <c r="P341" s="22">
        <v>0</v>
      </c>
      <c r="Q341" s="22">
        <v>9.6</v>
      </c>
    </row>
    <row r="342" spans="1:17" s="22" customFormat="1" ht="15.6" x14ac:dyDescent="0.3">
      <c r="A342" s="15">
        <v>340</v>
      </c>
      <c r="B342" s="40">
        <v>0</v>
      </c>
      <c r="C342" s="21">
        <v>0</v>
      </c>
      <c r="D342" s="18">
        <v>0</v>
      </c>
      <c r="E342" s="21">
        <v>70</v>
      </c>
      <c r="F342" s="23">
        <v>8</v>
      </c>
      <c r="G342" s="21">
        <v>6</v>
      </c>
      <c r="H342" s="22">
        <f>CONVERT(342,"ft","m")*100</f>
        <v>10424.16</v>
      </c>
      <c r="I342" s="21">
        <f t="shared" si="10"/>
        <v>104.24160000000001</v>
      </c>
      <c r="J342" s="21">
        <f>I342*I342</f>
        <v>10866.31117056</v>
      </c>
      <c r="K342" s="21">
        <v>55</v>
      </c>
      <c r="L342" s="22">
        <f t="shared" si="11"/>
        <v>5.0615152775130359E-3</v>
      </c>
      <c r="M342" s="16">
        <v>0</v>
      </c>
      <c r="N342" s="16">
        <v>0</v>
      </c>
      <c r="O342" s="22">
        <v>0</v>
      </c>
      <c r="P342" s="22">
        <v>0</v>
      </c>
      <c r="Q342" s="22">
        <v>9.6</v>
      </c>
    </row>
    <row r="343" spans="1:17" s="22" customFormat="1" ht="15.6" x14ac:dyDescent="0.3">
      <c r="A343" s="15">
        <v>341</v>
      </c>
      <c r="B343" s="40">
        <v>0</v>
      </c>
      <c r="C343" s="21">
        <v>1</v>
      </c>
      <c r="D343" s="18">
        <v>0</v>
      </c>
      <c r="E343" s="21">
        <v>77</v>
      </c>
      <c r="F343" s="23">
        <v>1</v>
      </c>
      <c r="G343" s="21">
        <v>5.5</v>
      </c>
      <c r="H343" s="22">
        <f>CONVERT(343,"ft","m")*100</f>
        <v>10454.640000000001</v>
      </c>
      <c r="I343" s="21">
        <f t="shared" si="10"/>
        <v>104.54640000000001</v>
      </c>
      <c r="J343" s="21">
        <f>I343*I343</f>
        <v>10929.949752960001</v>
      </c>
      <c r="K343" s="21">
        <v>60</v>
      </c>
      <c r="L343" s="22">
        <f t="shared" si="11"/>
        <v>5.4895037357103188E-3</v>
      </c>
      <c r="M343" s="16">
        <v>0</v>
      </c>
      <c r="N343" s="16">
        <v>0</v>
      </c>
      <c r="O343" s="22">
        <v>0</v>
      </c>
      <c r="P343" s="22">
        <v>0</v>
      </c>
      <c r="Q343" s="22">
        <v>9.6</v>
      </c>
    </row>
    <row r="344" spans="1:17" s="22" customFormat="1" ht="15.6" x14ac:dyDescent="0.3">
      <c r="A344" s="15">
        <v>342</v>
      </c>
      <c r="B344" s="40">
        <v>0</v>
      </c>
      <c r="C344" s="21">
        <v>1</v>
      </c>
      <c r="D344" s="18">
        <v>0</v>
      </c>
      <c r="E344" s="21">
        <v>56</v>
      </c>
      <c r="F344" s="23">
        <v>4</v>
      </c>
      <c r="G344" s="21">
        <v>5.3</v>
      </c>
      <c r="H344" s="22">
        <f>CONVERT(344,"ft","m")*100</f>
        <v>10485.120000000001</v>
      </c>
      <c r="I344" s="21">
        <f t="shared" si="10"/>
        <v>104.85120000000001</v>
      </c>
      <c r="J344" s="21">
        <f>I344*I344</f>
        <v>10993.774141440001</v>
      </c>
      <c r="K344" s="21">
        <v>70</v>
      </c>
      <c r="L344" s="22">
        <f t="shared" si="11"/>
        <v>6.3672401396842934E-3</v>
      </c>
      <c r="M344" s="16">
        <v>0</v>
      </c>
      <c r="N344" s="16">
        <v>0</v>
      </c>
      <c r="O344" s="22">
        <v>0</v>
      </c>
      <c r="P344" s="22">
        <v>0</v>
      </c>
      <c r="Q344" s="22">
        <v>9.6</v>
      </c>
    </row>
    <row r="345" spans="1:17" s="22" customFormat="1" ht="15.6" x14ac:dyDescent="0.3">
      <c r="A345" s="15">
        <v>343</v>
      </c>
      <c r="B345" s="40">
        <v>0</v>
      </c>
      <c r="C345" s="21">
        <v>1</v>
      </c>
      <c r="D345" s="18">
        <v>0</v>
      </c>
      <c r="E345" s="21">
        <v>45</v>
      </c>
      <c r="F345" s="23">
        <v>2</v>
      </c>
      <c r="G345" s="21">
        <v>4.9000000000000004</v>
      </c>
      <c r="H345" s="22">
        <f>CONVERT(345,"ft","m")*100</f>
        <v>10515.6</v>
      </c>
      <c r="I345" s="21">
        <f t="shared" si="10"/>
        <v>105.15600000000001</v>
      </c>
      <c r="J345" s="21">
        <f>I345*I345</f>
        <v>11057.784336000001</v>
      </c>
      <c r="K345" s="21">
        <v>80</v>
      </c>
      <c r="L345" s="22">
        <f t="shared" si="11"/>
        <v>7.234722397284417E-3</v>
      </c>
      <c r="M345" s="16">
        <v>0</v>
      </c>
      <c r="N345" s="16">
        <v>0</v>
      </c>
      <c r="O345" s="22">
        <v>0</v>
      </c>
      <c r="P345" s="22">
        <v>0</v>
      </c>
      <c r="Q345" s="22">
        <v>9.6</v>
      </c>
    </row>
    <row r="346" spans="1:17" s="22" customFormat="1" ht="15.6" x14ac:dyDescent="0.3">
      <c r="A346" s="15">
        <v>344</v>
      </c>
      <c r="B346" s="40">
        <v>0</v>
      </c>
      <c r="C346" s="21">
        <v>1</v>
      </c>
      <c r="D346" s="18">
        <v>0</v>
      </c>
      <c r="E346" s="21">
        <v>67</v>
      </c>
      <c r="F346" s="23">
        <v>5</v>
      </c>
      <c r="G346" s="21">
        <v>5.5</v>
      </c>
      <c r="H346" s="22">
        <f>CONVERT(346,"ft","m")*100</f>
        <v>10546.08</v>
      </c>
      <c r="I346" s="21">
        <f t="shared" si="10"/>
        <v>105.46080000000001</v>
      </c>
      <c r="J346" s="21">
        <f>I346*I346</f>
        <v>11121.980336640001</v>
      </c>
      <c r="K346" s="21">
        <v>90</v>
      </c>
      <c r="L346" s="22">
        <f t="shared" si="11"/>
        <v>8.0920840781839934E-3</v>
      </c>
      <c r="M346" s="16">
        <v>0</v>
      </c>
      <c r="N346" s="16">
        <v>0</v>
      </c>
      <c r="O346" s="22">
        <v>0</v>
      </c>
      <c r="P346" s="22">
        <v>0</v>
      </c>
      <c r="Q346" s="22">
        <v>9.6</v>
      </c>
    </row>
    <row r="347" spans="1:17" s="22" customFormat="1" ht="15.6" x14ac:dyDescent="0.3">
      <c r="A347" s="15">
        <v>345</v>
      </c>
      <c r="B347" s="40">
        <v>0</v>
      </c>
      <c r="C347" s="21">
        <v>0</v>
      </c>
      <c r="D347" s="18">
        <v>0</v>
      </c>
      <c r="E347" s="21">
        <v>76</v>
      </c>
      <c r="F347" s="23">
        <v>12</v>
      </c>
      <c r="G347" s="21">
        <v>5.3</v>
      </c>
      <c r="H347" s="22">
        <f>CONVERT(347,"ft","m")*100</f>
        <v>10576.560000000001</v>
      </c>
      <c r="I347" s="21">
        <f t="shared" si="10"/>
        <v>105.76560000000001</v>
      </c>
      <c r="J347" s="21">
        <f>I347*I347</f>
        <v>11186.362143360002</v>
      </c>
      <c r="K347" s="21">
        <v>65</v>
      </c>
      <c r="L347" s="22">
        <f t="shared" si="11"/>
        <v>5.8106468543558361E-3</v>
      </c>
      <c r="M347" s="16">
        <v>0</v>
      </c>
      <c r="N347" s="16">
        <v>0</v>
      </c>
      <c r="O347" s="22">
        <v>0</v>
      </c>
      <c r="P347" s="22">
        <v>0</v>
      </c>
      <c r="Q347" s="22">
        <v>9.6</v>
      </c>
    </row>
    <row r="348" spans="1:17" s="22" customFormat="1" ht="15.6" x14ac:dyDescent="0.3">
      <c r="A348" s="15">
        <v>346</v>
      </c>
      <c r="B348" s="40">
        <v>0</v>
      </c>
      <c r="C348" s="21">
        <v>0</v>
      </c>
      <c r="D348" s="18">
        <v>0</v>
      </c>
      <c r="E348" s="21">
        <v>54</v>
      </c>
      <c r="F348" s="23">
        <v>1</v>
      </c>
      <c r="G348" s="21">
        <v>5.5</v>
      </c>
      <c r="H348" s="22">
        <f>CONVERT(348,"ft","m")*100</f>
        <v>10607.04</v>
      </c>
      <c r="I348" s="21">
        <f t="shared" si="10"/>
        <v>106.07040000000001</v>
      </c>
      <c r="J348" s="21">
        <f>I348*I348</f>
        <v>11250.929756160001</v>
      </c>
      <c r="K348" s="21">
        <v>65</v>
      </c>
      <c r="L348" s="22">
        <f t="shared" si="11"/>
        <v>5.7773003128396404E-3</v>
      </c>
      <c r="M348" s="16">
        <v>0</v>
      </c>
      <c r="N348" s="16">
        <v>0</v>
      </c>
      <c r="O348" s="22">
        <v>0</v>
      </c>
      <c r="P348" s="22">
        <v>0</v>
      </c>
      <c r="Q348" s="22">
        <v>9.6</v>
      </c>
    </row>
    <row r="349" spans="1:17" s="22" customFormat="1" ht="15.6" x14ac:dyDescent="0.3">
      <c r="A349" s="15">
        <v>347</v>
      </c>
      <c r="B349" s="40">
        <v>0</v>
      </c>
      <c r="C349" s="21">
        <v>0</v>
      </c>
      <c r="D349" s="18">
        <v>0</v>
      </c>
      <c r="E349" s="21">
        <v>55</v>
      </c>
      <c r="F349" s="23">
        <v>2</v>
      </c>
      <c r="G349" s="21">
        <v>4.9000000000000004</v>
      </c>
      <c r="H349" s="22">
        <f>CONVERT(349,"ft","m")*100</f>
        <v>10637.52</v>
      </c>
      <c r="I349" s="21">
        <f t="shared" si="10"/>
        <v>106.37520000000001</v>
      </c>
      <c r="J349" s="21">
        <f>I349*I349</f>
        <v>11315.683175040002</v>
      </c>
      <c r="K349" s="21">
        <v>68</v>
      </c>
      <c r="L349" s="22">
        <f t="shared" si="11"/>
        <v>6.0093587764982305E-3</v>
      </c>
      <c r="M349" s="16">
        <v>0</v>
      </c>
      <c r="N349" s="16">
        <v>0</v>
      </c>
      <c r="O349" s="22">
        <v>0</v>
      </c>
      <c r="P349" s="22">
        <v>0</v>
      </c>
      <c r="Q349" s="22">
        <v>9.6</v>
      </c>
    </row>
    <row r="350" spans="1:17" s="22" customFormat="1" ht="15.6" x14ac:dyDescent="0.3">
      <c r="A350" s="15">
        <v>348</v>
      </c>
      <c r="B350" s="40">
        <v>0</v>
      </c>
      <c r="C350" s="21">
        <v>1</v>
      </c>
      <c r="D350" s="18">
        <v>0</v>
      </c>
      <c r="E350" s="21">
        <v>66</v>
      </c>
      <c r="F350" s="23">
        <v>7</v>
      </c>
      <c r="G350" s="21">
        <v>5.5</v>
      </c>
      <c r="H350" s="22">
        <f>CONVERT(350,"ft","m")*100</f>
        <v>10668</v>
      </c>
      <c r="I350" s="21">
        <f t="shared" si="10"/>
        <v>106.68</v>
      </c>
      <c r="J350" s="21">
        <f>I350*I350</f>
        <v>11380.622400000002</v>
      </c>
      <c r="K350" s="21">
        <v>70</v>
      </c>
      <c r="L350" s="22">
        <f t="shared" si="11"/>
        <v>6.1508059524055542E-3</v>
      </c>
      <c r="M350" s="16">
        <v>0</v>
      </c>
      <c r="N350" s="16">
        <v>0</v>
      </c>
      <c r="O350" s="22">
        <v>0</v>
      </c>
      <c r="P350" s="22">
        <v>0</v>
      </c>
      <c r="Q350" s="22">
        <v>10</v>
      </c>
    </row>
    <row r="351" spans="1:17" s="22" customFormat="1" ht="15.6" x14ac:dyDescent="0.3">
      <c r="A351" s="15">
        <v>349</v>
      </c>
      <c r="B351" s="40">
        <v>0</v>
      </c>
      <c r="C351" s="21">
        <v>1</v>
      </c>
      <c r="D351" s="18">
        <v>0</v>
      </c>
      <c r="E351" s="21">
        <v>85</v>
      </c>
      <c r="F351" s="23">
        <v>1</v>
      </c>
      <c r="G351" s="21">
        <v>5</v>
      </c>
      <c r="H351" s="22">
        <f>CONVERT(351,"ft","m")*100</f>
        <v>10698.480000000001</v>
      </c>
      <c r="I351" s="21">
        <f t="shared" si="10"/>
        <v>106.98480000000001</v>
      </c>
      <c r="J351" s="21">
        <f>I351*I351</f>
        <v>11445.747431040001</v>
      </c>
      <c r="K351" s="21">
        <v>55</v>
      </c>
      <c r="L351" s="22">
        <f t="shared" si="11"/>
        <v>4.8052781464357807E-3</v>
      </c>
      <c r="M351" s="16">
        <v>0</v>
      </c>
      <c r="N351" s="16">
        <v>0</v>
      </c>
      <c r="O351" s="22">
        <v>0</v>
      </c>
      <c r="P351" s="22">
        <v>0</v>
      </c>
      <c r="Q351" s="22">
        <v>10</v>
      </c>
    </row>
    <row r="352" spans="1:17" s="22" customFormat="1" ht="15.6" x14ac:dyDescent="0.3">
      <c r="A352" s="15">
        <v>350</v>
      </c>
      <c r="B352" s="40">
        <v>0</v>
      </c>
      <c r="C352" s="21">
        <v>0</v>
      </c>
      <c r="D352" s="18">
        <v>0</v>
      </c>
      <c r="E352" s="21">
        <v>67</v>
      </c>
      <c r="F352" s="23">
        <v>4</v>
      </c>
      <c r="G352" s="21">
        <v>5.5</v>
      </c>
      <c r="H352" s="22">
        <f>CONVERT(352,"ft","m")*100</f>
        <v>10728.96</v>
      </c>
      <c r="I352" s="21">
        <f t="shared" si="10"/>
        <v>107.28959999999999</v>
      </c>
      <c r="J352" s="21">
        <f>I352*I352</f>
        <v>11511.058268159999</v>
      </c>
      <c r="K352" s="21">
        <v>55</v>
      </c>
      <c r="L352" s="22">
        <f t="shared" si="11"/>
        <v>4.7780142119627673E-3</v>
      </c>
      <c r="M352" s="16">
        <v>0</v>
      </c>
      <c r="N352" s="16">
        <v>0</v>
      </c>
      <c r="O352" s="22">
        <v>0</v>
      </c>
      <c r="P352" s="22">
        <v>0</v>
      </c>
      <c r="Q352" s="22">
        <v>10</v>
      </c>
    </row>
    <row r="353" spans="1:17" s="22" customFormat="1" ht="15.6" x14ac:dyDescent="0.3">
      <c r="A353" s="15">
        <v>351</v>
      </c>
      <c r="B353" s="40">
        <v>0</v>
      </c>
      <c r="C353" s="21">
        <v>1</v>
      </c>
      <c r="D353" s="18">
        <v>0</v>
      </c>
      <c r="E353" s="21">
        <v>65</v>
      </c>
      <c r="F353" s="23">
        <v>11</v>
      </c>
      <c r="G353" s="21">
        <v>5.5</v>
      </c>
      <c r="H353" s="22">
        <f>CONVERT(353,"ft","m")*100</f>
        <v>10759.439999999999</v>
      </c>
      <c r="I353" s="21">
        <f t="shared" si="10"/>
        <v>107.59439999999999</v>
      </c>
      <c r="J353" s="21">
        <f>I353*I353</f>
        <v>11576.554911359999</v>
      </c>
      <c r="K353" s="21">
        <v>67</v>
      </c>
      <c r="L353" s="22">
        <f t="shared" si="11"/>
        <v>5.7875594693766221E-3</v>
      </c>
      <c r="M353" s="16">
        <v>0</v>
      </c>
      <c r="N353" s="16">
        <v>0</v>
      </c>
      <c r="O353" s="22">
        <v>0</v>
      </c>
      <c r="P353" s="22">
        <v>0</v>
      </c>
      <c r="Q353" s="22">
        <v>10</v>
      </c>
    </row>
    <row r="354" spans="1:17" s="22" customFormat="1" ht="15.6" x14ac:dyDescent="0.3">
      <c r="A354" s="15">
        <v>352</v>
      </c>
      <c r="B354" s="40">
        <v>0</v>
      </c>
      <c r="C354" s="21">
        <v>0</v>
      </c>
      <c r="D354" s="18">
        <v>0</v>
      </c>
      <c r="E354" s="21">
        <v>65</v>
      </c>
      <c r="F354" s="23">
        <v>8</v>
      </c>
      <c r="G354" s="21">
        <v>4.9000000000000004</v>
      </c>
      <c r="H354" s="22">
        <f>CONVERT(354,"ft","m")*100</f>
        <v>10789.92</v>
      </c>
      <c r="I354" s="21">
        <f t="shared" si="10"/>
        <v>107.89920000000001</v>
      </c>
      <c r="J354" s="21">
        <f>I354*I354</f>
        <v>11642.237360640001</v>
      </c>
      <c r="K354" s="21">
        <v>68</v>
      </c>
      <c r="L354" s="22">
        <f t="shared" si="11"/>
        <v>5.8408017199420743E-3</v>
      </c>
      <c r="M354" s="16">
        <v>0</v>
      </c>
      <c r="N354" s="16">
        <v>0</v>
      </c>
      <c r="O354" s="22">
        <v>0</v>
      </c>
      <c r="P354" s="22">
        <v>0</v>
      </c>
      <c r="Q354" s="22">
        <v>10</v>
      </c>
    </row>
    <row r="355" spans="1:17" s="22" customFormat="1" ht="15.6" x14ac:dyDescent="0.3">
      <c r="A355" s="15">
        <v>353</v>
      </c>
      <c r="B355" s="40">
        <v>0</v>
      </c>
      <c r="C355" s="21">
        <v>0</v>
      </c>
      <c r="D355" s="18">
        <v>0</v>
      </c>
      <c r="E355" s="21">
        <v>65</v>
      </c>
      <c r="F355" s="23">
        <v>1</v>
      </c>
      <c r="G355" s="21">
        <v>5</v>
      </c>
      <c r="H355" s="22">
        <f>CONVERT(355,"ft","m")*100</f>
        <v>10820.4</v>
      </c>
      <c r="I355" s="21">
        <f t="shared" si="10"/>
        <v>108.20399999999999</v>
      </c>
      <c r="J355" s="21">
        <f>I355*I355</f>
        <v>11708.105615999999</v>
      </c>
      <c r="K355" s="21">
        <v>69</v>
      </c>
      <c r="L355" s="22">
        <f t="shared" si="11"/>
        <v>5.8933530549729884E-3</v>
      </c>
      <c r="M355" s="16">
        <v>0</v>
      </c>
      <c r="N355" s="16">
        <v>0</v>
      </c>
      <c r="O355" s="22">
        <v>0</v>
      </c>
      <c r="P355" s="22">
        <v>0</v>
      </c>
      <c r="Q355" s="22">
        <v>10</v>
      </c>
    </row>
    <row r="356" spans="1:17" s="22" customFormat="1" ht="15.6" x14ac:dyDescent="0.3">
      <c r="A356" s="15">
        <v>354</v>
      </c>
      <c r="B356" s="40">
        <v>0</v>
      </c>
      <c r="C356" s="21">
        <v>0</v>
      </c>
      <c r="D356" s="18">
        <v>0</v>
      </c>
      <c r="E356" s="21">
        <v>44</v>
      </c>
      <c r="F356" s="23">
        <v>1</v>
      </c>
      <c r="G356" s="21">
        <v>5.5</v>
      </c>
      <c r="H356" s="22">
        <f>CONVERT(356,"ft","m")*100</f>
        <v>10850.88</v>
      </c>
      <c r="I356" s="21">
        <f t="shared" si="10"/>
        <v>108.50879999999999</v>
      </c>
      <c r="J356" s="21">
        <f>I356*I356</f>
        <v>11774.159677439999</v>
      </c>
      <c r="K356" s="21">
        <v>80</v>
      </c>
      <c r="L356" s="22">
        <f t="shared" si="11"/>
        <v>6.7945400938705493E-3</v>
      </c>
      <c r="M356" s="16">
        <v>0</v>
      </c>
      <c r="N356" s="16">
        <v>0</v>
      </c>
      <c r="O356" s="22">
        <v>0</v>
      </c>
      <c r="P356" s="22">
        <v>0</v>
      </c>
      <c r="Q356" s="22">
        <v>10</v>
      </c>
    </row>
    <row r="357" spans="1:17" s="22" customFormat="1" ht="15.6" x14ac:dyDescent="0.3">
      <c r="A357" s="15">
        <v>355</v>
      </c>
      <c r="B357" s="40">
        <v>0</v>
      </c>
      <c r="C357" s="21">
        <v>1</v>
      </c>
      <c r="D357" s="18">
        <v>0</v>
      </c>
      <c r="E357" s="21">
        <v>50</v>
      </c>
      <c r="F357" s="23">
        <v>1</v>
      </c>
      <c r="G357" s="21">
        <v>5.5</v>
      </c>
      <c r="H357" s="22">
        <f>CONVERT(357,"ft","m")*100</f>
        <v>10881.359999999999</v>
      </c>
      <c r="I357" s="21">
        <f t="shared" si="10"/>
        <v>108.81359999999999</v>
      </c>
      <c r="J357" s="21">
        <f>I357*I357</f>
        <v>11840.399544959999</v>
      </c>
      <c r="K357" s="21">
        <v>90</v>
      </c>
      <c r="L357" s="22">
        <f t="shared" si="11"/>
        <v>7.6010948497349925E-3</v>
      </c>
      <c r="M357" s="16">
        <v>0</v>
      </c>
      <c r="N357" s="16">
        <v>0</v>
      </c>
      <c r="O357" s="22">
        <v>0</v>
      </c>
      <c r="P357" s="22">
        <v>0</v>
      </c>
      <c r="Q357" s="22">
        <v>10</v>
      </c>
    </row>
    <row r="358" spans="1:17" s="22" customFormat="1" ht="15.6" x14ac:dyDescent="0.3">
      <c r="A358" s="15">
        <v>356</v>
      </c>
      <c r="B358" s="40">
        <v>0</v>
      </c>
      <c r="C358" s="21">
        <v>1</v>
      </c>
      <c r="D358" s="18">
        <v>0</v>
      </c>
      <c r="E358" s="21">
        <v>30</v>
      </c>
      <c r="F358" s="23">
        <v>11</v>
      </c>
      <c r="G358" s="21">
        <v>4.9000000000000004</v>
      </c>
      <c r="H358" s="22">
        <f>CONVERT(358,"ft","m")*100</f>
        <v>10911.84</v>
      </c>
      <c r="I358" s="21">
        <f t="shared" si="10"/>
        <v>109.11840000000001</v>
      </c>
      <c r="J358" s="21">
        <f>I358*I358</f>
        <v>11906.825218560001</v>
      </c>
      <c r="K358" s="21">
        <v>60</v>
      </c>
      <c r="L358" s="22">
        <f t="shared" si="11"/>
        <v>5.0391266268420406E-3</v>
      </c>
      <c r="M358" s="16">
        <v>0</v>
      </c>
      <c r="N358" s="16">
        <v>0</v>
      </c>
      <c r="O358" s="22">
        <v>0</v>
      </c>
      <c r="P358" s="22">
        <v>0</v>
      </c>
      <c r="Q358" s="22">
        <v>10</v>
      </c>
    </row>
    <row r="359" spans="1:17" s="22" customFormat="1" ht="15.6" x14ac:dyDescent="0.3">
      <c r="A359" s="15">
        <v>357</v>
      </c>
      <c r="B359" s="40">
        <v>0</v>
      </c>
      <c r="C359" s="21">
        <v>1</v>
      </c>
      <c r="D359" s="18">
        <v>0</v>
      </c>
      <c r="E359" s="21">
        <v>25</v>
      </c>
      <c r="F359" s="23">
        <v>11</v>
      </c>
      <c r="G359" s="21">
        <v>5</v>
      </c>
      <c r="H359" s="22">
        <f>CONVERT(359,"ft","m")*100</f>
        <v>10942.32</v>
      </c>
      <c r="I359" s="21">
        <f t="shared" si="10"/>
        <v>109.42319999999999</v>
      </c>
      <c r="J359" s="21">
        <f>I359*I359</f>
        <v>11973.436698239999</v>
      </c>
      <c r="K359" s="21">
        <v>66</v>
      </c>
      <c r="L359" s="22">
        <f t="shared" si="11"/>
        <v>5.5122018567736264E-3</v>
      </c>
      <c r="M359" s="16">
        <v>0</v>
      </c>
      <c r="N359" s="16">
        <v>0</v>
      </c>
      <c r="O359" s="22">
        <v>0</v>
      </c>
      <c r="P359" s="22">
        <v>0</v>
      </c>
      <c r="Q359" s="22">
        <v>10</v>
      </c>
    </row>
    <row r="360" spans="1:17" s="22" customFormat="1" ht="15.6" x14ac:dyDescent="0.3">
      <c r="A360" s="15">
        <v>358</v>
      </c>
      <c r="B360" s="40">
        <v>0</v>
      </c>
      <c r="C360" s="21">
        <v>1</v>
      </c>
      <c r="D360" s="18">
        <v>0</v>
      </c>
      <c r="E360" s="21">
        <v>40</v>
      </c>
      <c r="F360" s="23">
        <v>8</v>
      </c>
      <c r="G360" s="21">
        <v>5.5</v>
      </c>
      <c r="H360" s="22">
        <f>CONVERT(360,"ft","m")*100</f>
        <v>10972.8</v>
      </c>
      <c r="I360" s="21">
        <f t="shared" si="10"/>
        <v>109.72799999999999</v>
      </c>
      <c r="J360" s="21">
        <f>I360*I360</f>
        <v>12040.233983999999</v>
      </c>
      <c r="K360" s="21">
        <v>55</v>
      </c>
      <c r="L360" s="22">
        <f t="shared" si="11"/>
        <v>4.5680175379555158E-3</v>
      </c>
      <c r="M360" s="16">
        <v>0</v>
      </c>
      <c r="N360" s="16">
        <v>0</v>
      </c>
      <c r="O360" s="22">
        <v>0</v>
      </c>
      <c r="P360" s="22">
        <v>0</v>
      </c>
      <c r="Q360" s="22">
        <v>10</v>
      </c>
    </row>
    <row r="361" spans="1:17" s="22" customFormat="1" ht="15.6" x14ac:dyDescent="0.3">
      <c r="A361" s="15">
        <v>359</v>
      </c>
      <c r="B361" s="40">
        <v>0</v>
      </c>
      <c r="C361" s="21">
        <v>1</v>
      </c>
      <c r="D361" s="18">
        <v>0</v>
      </c>
      <c r="E361" s="21">
        <v>53</v>
      </c>
      <c r="F361" s="23">
        <v>13</v>
      </c>
      <c r="G361" s="21">
        <v>5</v>
      </c>
      <c r="H361" s="22">
        <f>CONVERT(361,"ft","m")*100</f>
        <v>11003.279999999999</v>
      </c>
      <c r="I361" s="21">
        <f t="shared" si="10"/>
        <v>110.03279999999999</v>
      </c>
      <c r="J361" s="21">
        <f>I361*I361</f>
        <v>12107.217075839999</v>
      </c>
      <c r="K361" s="21">
        <v>60</v>
      </c>
      <c r="L361" s="22">
        <f t="shared" si="11"/>
        <v>4.9557218330321543E-3</v>
      </c>
      <c r="M361" s="16">
        <v>0</v>
      </c>
      <c r="N361" s="16">
        <v>0</v>
      </c>
      <c r="O361" s="22">
        <v>0</v>
      </c>
      <c r="P361" s="22">
        <v>0</v>
      </c>
      <c r="Q361" s="22">
        <v>10</v>
      </c>
    </row>
    <row r="362" spans="1:17" s="22" customFormat="1" ht="15.6" x14ac:dyDescent="0.3">
      <c r="A362" s="15">
        <v>360</v>
      </c>
      <c r="B362" s="40">
        <v>0</v>
      </c>
      <c r="C362" s="21">
        <v>1</v>
      </c>
      <c r="D362" s="18">
        <v>0</v>
      </c>
      <c r="E362" s="21">
        <v>55</v>
      </c>
      <c r="F362" s="23">
        <v>15</v>
      </c>
      <c r="G362" s="21">
        <v>4.9000000000000004</v>
      </c>
      <c r="H362" s="22">
        <f>CONVERT(362,"ft","m")*100</f>
        <v>11033.76</v>
      </c>
      <c r="I362" s="21">
        <f t="shared" si="10"/>
        <v>110.33760000000001</v>
      </c>
      <c r="J362" s="21">
        <f>I362*I362</f>
        <v>12174.385973760001</v>
      </c>
      <c r="K362" s="21">
        <v>40</v>
      </c>
      <c r="L362" s="22">
        <f t="shared" si="11"/>
        <v>3.2855866477548676E-3</v>
      </c>
      <c r="M362" s="16">
        <v>0</v>
      </c>
      <c r="N362" s="16">
        <v>0</v>
      </c>
      <c r="O362" s="22">
        <v>0</v>
      </c>
      <c r="P362" s="22">
        <v>0</v>
      </c>
      <c r="Q362" s="22">
        <v>10</v>
      </c>
    </row>
    <row r="363" spans="1:17" s="22" customFormat="1" ht="15.6" x14ac:dyDescent="0.3">
      <c r="A363" s="15">
        <v>361</v>
      </c>
      <c r="B363" s="40">
        <v>0</v>
      </c>
      <c r="C363" s="21">
        <v>1</v>
      </c>
      <c r="D363" s="18">
        <v>0</v>
      </c>
      <c r="E363" s="21">
        <v>47</v>
      </c>
      <c r="F363" s="23">
        <v>8</v>
      </c>
      <c r="G363" s="21">
        <v>5.5</v>
      </c>
      <c r="H363" s="22">
        <f>CONVERT(363,"ft","m")*100</f>
        <v>11064.24</v>
      </c>
      <c r="I363" s="21">
        <f t="shared" si="10"/>
        <v>110.64239999999999</v>
      </c>
      <c r="J363" s="21">
        <f>I363*I363</f>
        <v>12241.740677759999</v>
      </c>
      <c r="K363" s="21">
        <v>50</v>
      </c>
      <c r="L363" s="22">
        <f t="shared" si="11"/>
        <v>4.0843864705316585E-3</v>
      </c>
      <c r="M363" s="16">
        <v>0</v>
      </c>
      <c r="N363" s="16">
        <v>0</v>
      </c>
      <c r="O363" s="22">
        <v>0</v>
      </c>
      <c r="P363" s="22">
        <v>0</v>
      </c>
      <c r="Q363" s="22">
        <v>10</v>
      </c>
    </row>
    <row r="364" spans="1:17" s="22" customFormat="1" ht="15.6" x14ac:dyDescent="0.3">
      <c r="A364" s="15">
        <v>362</v>
      </c>
      <c r="B364" s="40">
        <v>0</v>
      </c>
      <c r="C364" s="21">
        <v>1</v>
      </c>
      <c r="D364" s="18">
        <v>0</v>
      </c>
      <c r="E364" s="21">
        <v>58</v>
      </c>
      <c r="F364" s="23">
        <v>5</v>
      </c>
      <c r="G364" s="21">
        <v>4.9000000000000004</v>
      </c>
      <c r="H364" s="22">
        <f>CONVERT(364,"ft","m")*100</f>
        <v>11094.72</v>
      </c>
      <c r="I364" s="21">
        <f t="shared" si="10"/>
        <v>110.9472</v>
      </c>
      <c r="J364" s="21">
        <f>I364*I364</f>
        <v>12309.281187839999</v>
      </c>
      <c r="K364" s="21">
        <v>50</v>
      </c>
      <c r="L364" s="22">
        <f t="shared" si="11"/>
        <v>4.0619756131165183E-3</v>
      </c>
      <c r="M364" s="16">
        <v>0</v>
      </c>
      <c r="N364" s="16">
        <v>0</v>
      </c>
      <c r="O364" s="22">
        <v>0</v>
      </c>
      <c r="P364" s="22">
        <v>0</v>
      </c>
      <c r="Q364" s="22">
        <v>10</v>
      </c>
    </row>
    <row r="365" spans="1:17" s="22" customFormat="1" ht="15.6" x14ac:dyDescent="0.3">
      <c r="A365" s="15">
        <v>363</v>
      </c>
      <c r="B365" s="40">
        <v>0</v>
      </c>
      <c r="C365" s="21">
        <v>0</v>
      </c>
      <c r="D365" s="18">
        <v>0</v>
      </c>
      <c r="E365" s="21">
        <v>55</v>
      </c>
      <c r="F365" s="23">
        <v>1</v>
      </c>
      <c r="G365" s="21">
        <v>4.9000000000000004</v>
      </c>
      <c r="H365" s="22">
        <f>CONVERT(365,"ft","m")*100</f>
        <v>11125.199999999999</v>
      </c>
      <c r="I365" s="21">
        <f t="shared" si="10"/>
        <v>111.252</v>
      </c>
      <c r="J365" s="21">
        <f>I365*I365</f>
        <v>12377.007503999999</v>
      </c>
      <c r="K365" s="21">
        <v>60</v>
      </c>
      <c r="L365" s="22">
        <f t="shared" si="11"/>
        <v>4.8476984425039095E-3</v>
      </c>
      <c r="M365" s="16">
        <v>0</v>
      </c>
      <c r="N365" s="16">
        <v>0</v>
      </c>
      <c r="O365" s="22">
        <v>0</v>
      </c>
      <c r="P365" s="22">
        <v>0</v>
      </c>
      <c r="Q365" s="22">
        <v>10</v>
      </c>
    </row>
    <row r="366" spans="1:17" s="22" customFormat="1" ht="15.6" x14ac:dyDescent="0.3">
      <c r="A366" s="15">
        <v>364</v>
      </c>
      <c r="B366" s="40">
        <v>0</v>
      </c>
      <c r="C366" s="21">
        <v>1</v>
      </c>
      <c r="D366" s="18">
        <v>0</v>
      </c>
      <c r="E366" s="21">
        <v>70</v>
      </c>
      <c r="F366" s="23">
        <v>1</v>
      </c>
      <c r="G366" s="21">
        <v>6</v>
      </c>
      <c r="H366" s="22">
        <f>CONVERT(366,"ft","m")*100</f>
        <v>11155.68</v>
      </c>
      <c r="I366" s="21">
        <f t="shared" si="10"/>
        <v>111.55680000000001</v>
      </c>
      <c r="J366" s="21">
        <f>I366*I366</f>
        <v>12444.919626240002</v>
      </c>
      <c r="K366" s="21">
        <v>55</v>
      </c>
      <c r="L366" s="22">
        <f t="shared" si="11"/>
        <v>4.419474102832532E-3</v>
      </c>
      <c r="M366" s="16">
        <v>0</v>
      </c>
      <c r="N366" s="16">
        <v>0</v>
      </c>
      <c r="O366" s="22">
        <v>0</v>
      </c>
      <c r="P366" s="22">
        <v>0</v>
      </c>
      <c r="Q366" s="22">
        <v>9</v>
      </c>
    </row>
    <row r="367" spans="1:17" s="22" customFormat="1" ht="15.6" x14ac:dyDescent="0.3">
      <c r="A367" s="15">
        <v>365</v>
      </c>
      <c r="B367" s="40">
        <v>0</v>
      </c>
      <c r="C367" s="21">
        <v>1</v>
      </c>
      <c r="D367" s="18">
        <v>0</v>
      </c>
      <c r="E367" s="21">
        <v>77</v>
      </c>
      <c r="F367" s="23">
        <v>1</v>
      </c>
      <c r="G367" s="21">
        <v>5.5</v>
      </c>
      <c r="H367" s="22">
        <f>CONVERT(367,"ft","m")*100</f>
        <v>11186.16</v>
      </c>
      <c r="I367" s="21">
        <f t="shared" si="10"/>
        <v>111.8616</v>
      </c>
      <c r="J367" s="21">
        <f>I367*I367</f>
        <v>12513.01755456</v>
      </c>
      <c r="K367" s="21">
        <v>60</v>
      </c>
      <c r="L367" s="22">
        <f t="shared" si="11"/>
        <v>4.7950064593439952E-3</v>
      </c>
      <c r="M367" s="16">
        <v>0</v>
      </c>
      <c r="N367" s="16">
        <v>0</v>
      </c>
      <c r="O367" s="22">
        <v>0</v>
      </c>
      <c r="P367" s="22">
        <v>0</v>
      </c>
      <c r="Q367" s="22">
        <v>9</v>
      </c>
    </row>
    <row r="368" spans="1:17" s="22" customFormat="1" ht="15.6" x14ac:dyDescent="0.3">
      <c r="A368" s="15">
        <v>366</v>
      </c>
      <c r="B368" s="40">
        <v>0</v>
      </c>
      <c r="C368" s="21">
        <v>1</v>
      </c>
      <c r="D368" s="18">
        <v>0</v>
      </c>
      <c r="E368" s="21">
        <v>56</v>
      </c>
      <c r="F368" s="23">
        <v>1</v>
      </c>
      <c r="G368" s="21">
        <v>5.3</v>
      </c>
      <c r="H368" s="22">
        <f>CONVERT(368,"ft","m")*100</f>
        <v>11216.64</v>
      </c>
      <c r="I368" s="21">
        <f t="shared" si="10"/>
        <v>112.1664</v>
      </c>
      <c r="J368" s="21">
        <f>I368*I368</f>
        <v>12581.30128896</v>
      </c>
      <c r="K368" s="21">
        <v>70</v>
      </c>
      <c r="L368" s="22">
        <f t="shared" si="11"/>
        <v>5.5638123904897252E-3</v>
      </c>
      <c r="M368" s="16">
        <v>0</v>
      </c>
      <c r="N368" s="16">
        <v>0</v>
      </c>
      <c r="O368" s="22">
        <v>0</v>
      </c>
      <c r="P368" s="22">
        <v>0</v>
      </c>
      <c r="Q368" s="22">
        <v>9</v>
      </c>
    </row>
    <row r="369" spans="1:19" s="22" customFormat="1" ht="15.6" x14ac:dyDescent="0.3">
      <c r="A369" s="15">
        <v>367</v>
      </c>
      <c r="B369" s="40">
        <v>0</v>
      </c>
      <c r="C369" s="21">
        <v>0</v>
      </c>
      <c r="D369" s="18">
        <v>0</v>
      </c>
      <c r="E369" s="21">
        <v>45</v>
      </c>
      <c r="F369" s="23">
        <v>1</v>
      </c>
      <c r="G369" s="21">
        <v>4.9000000000000004</v>
      </c>
      <c r="H369" s="22">
        <f>CONVERT(369,"ft","m")*100</f>
        <v>11247.119999999999</v>
      </c>
      <c r="I369" s="21">
        <f t="shared" si="10"/>
        <v>112.4712</v>
      </c>
      <c r="J369" s="21">
        <f>I369*I369</f>
        <v>12649.77082944</v>
      </c>
      <c r="K369" s="21">
        <v>80</v>
      </c>
      <c r="L369" s="22">
        <f t="shared" si="11"/>
        <v>6.3242252431810709E-3</v>
      </c>
      <c r="M369" s="16">
        <v>0</v>
      </c>
      <c r="N369" s="16">
        <v>0</v>
      </c>
      <c r="O369" s="22">
        <v>0</v>
      </c>
      <c r="P369" s="22">
        <v>0</v>
      </c>
      <c r="Q369" s="22">
        <v>9</v>
      </c>
    </row>
    <row r="370" spans="1:19" s="22" customFormat="1" ht="15.6" x14ac:dyDescent="0.3">
      <c r="A370" s="15">
        <v>368</v>
      </c>
      <c r="B370" s="40">
        <v>0</v>
      </c>
      <c r="C370" s="21">
        <v>1</v>
      </c>
      <c r="D370" s="18">
        <v>0</v>
      </c>
      <c r="E370" s="21">
        <v>67</v>
      </c>
      <c r="F370" s="23">
        <v>1</v>
      </c>
      <c r="G370" s="21">
        <v>5.5</v>
      </c>
      <c r="H370" s="22">
        <f>CONVERT(370,"ft","m")*100</f>
        <v>11277.6</v>
      </c>
      <c r="I370" s="21">
        <f t="shared" si="10"/>
        <v>112.77600000000001</v>
      </c>
      <c r="J370" s="21">
        <f>I370*I370</f>
        <v>12718.426176000003</v>
      </c>
      <c r="K370" s="21">
        <v>90</v>
      </c>
      <c r="L370" s="22">
        <f t="shared" si="11"/>
        <v>7.0763472425410872E-3</v>
      </c>
      <c r="M370" s="16">
        <v>0</v>
      </c>
      <c r="N370" s="16">
        <v>0</v>
      </c>
      <c r="O370" s="22">
        <v>0</v>
      </c>
      <c r="P370" s="22">
        <v>0</v>
      </c>
      <c r="Q370" s="22">
        <v>9</v>
      </c>
    </row>
    <row r="371" spans="1:19" s="22" customFormat="1" x14ac:dyDescent="0.3">
      <c r="A371" s="15">
        <v>369</v>
      </c>
      <c r="B371" s="40">
        <v>0</v>
      </c>
      <c r="C371" s="21">
        <v>1</v>
      </c>
      <c r="D371" s="18">
        <v>0</v>
      </c>
      <c r="E371" s="21">
        <v>85</v>
      </c>
      <c r="F371" s="21">
        <v>1</v>
      </c>
      <c r="G371" s="21">
        <v>5</v>
      </c>
      <c r="H371" s="22">
        <f>CONVERT(371,"ft","m")*100</f>
        <v>11308.08</v>
      </c>
      <c r="I371" s="21">
        <f t="shared" si="10"/>
        <v>113.0808</v>
      </c>
      <c r="J371" s="21">
        <f>I371*I371</f>
        <v>12787.267328639999</v>
      </c>
      <c r="K371" s="21">
        <v>55</v>
      </c>
      <c r="L371" s="22">
        <f t="shared" si="11"/>
        <v>4.301153529246626E-3</v>
      </c>
      <c r="M371" s="16">
        <v>0</v>
      </c>
      <c r="N371" s="16">
        <v>0</v>
      </c>
      <c r="O371" s="22">
        <v>0</v>
      </c>
      <c r="P371" s="22">
        <v>0</v>
      </c>
      <c r="Q371" s="22">
        <v>9</v>
      </c>
    </row>
    <row r="372" spans="1:19" s="22" customFormat="1" x14ac:dyDescent="0.3">
      <c r="A372" s="15">
        <v>370</v>
      </c>
      <c r="B372" s="40">
        <v>0</v>
      </c>
      <c r="C372" s="21">
        <v>1</v>
      </c>
      <c r="D372" s="18">
        <v>0</v>
      </c>
      <c r="E372" s="21">
        <v>67</v>
      </c>
      <c r="F372" s="21">
        <v>1</v>
      </c>
      <c r="G372" s="21">
        <v>5.5</v>
      </c>
      <c r="H372" s="22">
        <f>CONVERT(372,"ft","m")*100</f>
        <v>11338.56</v>
      </c>
      <c r="I372" s="21">
        <f t="shared" si="10"/>
        <v>113.3856</v>
      </c>
      <c r="J372" s="21">
        <f>I372*I372</f>
        <v>12856.294287359999</v>
      </c>
      <c r="K372" s="21">
        <v>55</v>
      </c>
      <c r="L372" s="22">
        <f t="shared" si="11"/>
        <v>4.2780601291987136E-3</v>
      </c>
      <c r="M372" s="16">
        <v>0</v>
      </c>
      <c r="N372" s="16">
        <v>0</v>
      </c>
      <c r="O372" s="22">
        <v>0</v>
      </c>
      <c r="P372" s="22">
        <v>0</v>
      </c>
      <c r="Q372" s="22">
        <v>9</v>
      </c>
    </row>
    <row r="373" spans="1:19" s="22" customFormat="1" x14ac:dyDescent="0.3">
      <c r="A373" s="15">
        <v>371</v>
      </c>
      <c r="B373" s="40">
        <v>0</v>
      </c>
      <c r="C373" s="21">
        <v>0</v>
      </c>
      <c r="D373" s="18">
        <v>0</v>
      </c>
      <c r="E373" s="21">
        <v>65</v>
      </c>
      <c r="F373" s="21">
        <v>4</v>
      </c>
      <c r="G373" s="21">
        <v>5.5</v>
      </c>
      <c r="H373" s="22">
        <f>CONVERT(373,"ft","m")*100</f>
        <v>11369.039999999999</v>
      </c>
      <c r="I373" s="21">
        <f t="shared" si="10"/>
        <v>113.6904</v>
      </c>
      <c r="J373" s="21">
        <f>I373*I373</f>
        <v>12925.507052159999</v>
      </c>
      <c r="K373" s="21">
        <v>67</v>
      </c>
      <c r="L373" s="22">
        <f t="shared" si="11"/>
        <v>5.1835490653965128E-3</v>
      </c>
      <c r="M373" s="16">
        <v>0</v>
      </c>
      <c r="N373" s="16">
        <v>0</v>
      </c>
      <c r="O373" s="22">
        <v>0</v>
      </c>
      <c r="P373" s="22">
        <v>0</v>
      </c>
      <c r="Q373" s="22">
        <v>9</v>
      </c>
    </row>
    <row r="374" spans="1:19" s="22" customFormat="1" x14ac:dyDescent="0.3">
      <c r="A374" s="15">
        <v>372</v>
      </c>
      <c r="B374" s="41">
        <v>0</v>
      </c>
      <c r="C374" s="24">
        <v>1</v>
      </c>
      <c r="D374" s="18">
        <v>0</v>
      </c>
      <c r="E374" s="24">
        <v>65</v>
      </c>
      <c r="F374" s="24">
        <v>5</v>
      </c>
      <c r="G374" s="24">
        <v>4.9000000000000004</v>
      </c>
      <c r="H374" s="25">
        <f>CONVERT(374,"ft","m")*100</f>
        <v>11399.52</v>
      </c>
      <c r="I374" s="24">
        <f t="shared" si="10"/>
        <v>113.99520000000001</v>
      </c>
      <c r="J374" s="24">
        <f>I374*I374</f>
        <v>12994.905623040002</v>
      </c>
      <c r="K374" s="24">
        <v>68</v>
      </c>
      <c r="L374" s="25">
        <f t="shared" si="11"/>
        <v>5.2328198428340886E-3</v>
      </c>
      <c r="M374" s="16">
        <v>0</v>
      </c>
      <c r="N374" s="16">
        <v>0</v>
      </c>
      <c r="O374" s="22">
        <v>0</v>
      </c>
      <c r="P374" s="22">
        <v>0</v>
      </c>
      <c r="Q374" s="22">
        <v>9</v>
      </c>
      <c r="R374" s="25"/>
      <c r="S374" s="25"/>
    </row>
    <row r="375" spans="1:19" s="22" customFormat="1" x14ac:dyDescent="0.3">
      <c r="A375" s="15">
        <v>373</v>
      </c>
      <c r="B375" s="41">
        <v>0</v>
      </c>
      <c r="C375" s="24">
        <v>1</v>
      </c>
      <c r="D375" s="18">
        <v>0</v>
      </c>
      <c r="E375" s="24">
        <v>65</v>
      </c>
      <c r="F375" s="24">
        <v>5</v>
      </c>
      <c r="G375" s="24">
        <v>5</v>
      </c>
      <c r="H375" s="25">
        <f>CONVERT(375,"ft","m")*100</f>
        <v>11430</v>
      </c>
      <c r="I375" s="24">
        <f t="shared" si="10"/>
        <v>114.3</v>
      </c>
      <c r="J375" s="24">
        <f>I375*I375</f>
        <v>13064.49</v>
      </c>
      <c r="K375" s="24">
        <v>69</v>
      </c>
      <c r="L375" s="25">
        <f t="shared" si="11"/>
        <v>5.2814920444655706E-3</v>
      </c>
      <c r="M375" s="16">
        <v>0</v>
      </c>
      <c r="N375" s="16">
        <v>0</v>
      </c>
      <c r="O375" s="22">
        <v>0</v>
      </c>
      <c r="P375" s="22">
        <v>0</v>
      </c>
      <c r="Q375" s="22">
        <v>9</v>
      </c>
      <c r="R375" s="25"/>
      <c r="S375" s="25"/>
    </row>
    <row r="376" spans="1:19" s="25" customFormat="1" x14ac:dyDescent="0.3">
      <c r="A376" s="15">
        <v>374</v>
      </c>
      <c r="B376" s="41">
        <v>0</v>
      </c>
      <c r="C376" s="24">
        <v>1</v>
      </c>
      <c r="D376" s="18">
        <v>0</v>
      </c>
      <c r="E376" s="24">
        <v>44</v>
      </c>
      <c r="F376" s="24">
        <v>1</v>
      </c>
      <c r="G376" s="24">
        <v>5.5</v>
      </c>
      <c r="H376" s="25">
        <f>CONVERT(376,"ft","m")*100</f>
        <v>11460.48</v>
      </c>
      <c r="I376" s="24">
        <f t="shared" si="10"/>
        <v>114.6048</v>
      </c>
      <c r="J376" s="24">
        <f>I376*I376</f>
        <v>13134.26018304</v>
      </c>
      <c r="K376" s="24">
        <v>80</v>
      </c>
      <c r="L376" s="25">
        <f t="shared" si="11"/>
        <v>6.0909407066035096E-3</v>
      </c>
      <c r="M376" s="16">
        <v>0</v>
      </c>
      <c r="N376" s="16">
        <v>0</v>
      </c>
      <c r="O376" s="22">
        <v>0</v>
      </c>
      <c r="P376" s="22">
        <v>0</v>
      </c>
      <c r="Q376" s="22">
        <v>9</v>
      </c>
    </row>
    <row r="377" spans="1:19" s="25" customFormat="1" x14ac:dyDescent="0.3">
      <c r="A377" s="15">
        <v>375</v>
      </c>
      <c r="B377" s="41">
        <v>0</v>
      </c>
      <c r="C377" s="24">
        <v>0</v>
      </c>
      <c r="D377" s="18">
        <v>0</v>
      </c>
      <c r="E377" s="24">
        <v>50</v>
      </c>
      <c r="F377" s="24">
        <v>1</v>
      </c>
      <c r="G377" s="24">
        <v>5.5</v>
      </c>
      <c r="H377" s="25">
        <f>CONVERT(377,"ft","m")*100</f>
        <v>11490.96</v>
      </c>
      <c r="I377" s="24">
        <f t="shared" si="10"/>
        <v>114.9096</v>
      </c>
      <c r="J377" s="24">
        <f>I377*I377</f>
        <v>13204.216172159999</v>
      </c>
      <c r="K377" s="24">
        <v>90</v>
      </c>
      <c r="L377" s="25">
        <f t="shared" si="11"/>
        <v>6.8160047386801783E-3</v>
      </c>
      <c r="M377" s="16">
        <v>0</v>
      </c>
      <c r="N377" s="16">
        <v>0</v>
      </c>
      <c r="O377" s="22">
        <v>0</v>
      </c>
      <c r="P377" s="22">
        <v>0</v>
      </c>
      <c r="Q377" s="22">
        <v>9</v>
      </c>
    </row>
    <row r="378" spans="1:19" s="25" customFormat="1" x14ac:dyDescent="0.3">
      <c r="A378" s="15">
        <v>376</v>
      </c>
      <c r="B378" s="41">
        <v>0</v>
      </c>
      <c r="C378" s="24">
        <v>1</v>
      </c>
      <c r="D378" s="18">
        <v>0</v>
      </c>
      <c r="E378" s="24">
        <v>30</v>
      </c>
      <c r="F378" s="24">
        <v>1</v>
      </c>
      <c r="G378" s="24">
        <v>4.9000000000000004</v>
      </c>
      <c r="H378" s="25">
        <f>CONVERT(378,"ft","m")*100</f>
        <v>11521.44</v>
      </c>
      <c r="I378" s="24">
        <f t="shared" si="10"/>
        <v>115.21440000000001</v>
      </c>
      <c r="J378" s="24">
        <f>I378*I378</f>
        <v>13274.357967360003</v>
      </c>
      <c r="K378" s="24">
        <v>60</v>
      </c>
      <c r="L378" s="25">
        <f t="shared" si="11"/>
        <v>4.5199926164061982E-3</v>
      </c>
      <c r="M378" s="16">
        <v>0</v>
      </c>
      <c r="N378" s="16">
        <v>0</v>
      </c>
      <c r="O378" s="22">
        <v>0</v>
      </c>
      <c r="P378" s="22">
        <v>0</v>
      </c>
      <c r="Q378" s="22">
        <v>9</v>
      </c>
    </row>
    <row r="379" spans="1:19" s="25" customFormat="1" x14ac:dyDescent="0.3">
      <c r="A379" s="15">
        <v>377</v>
      </c>
      <c r="B379" s="41">
        <v>0</v>
      </c>
      <c r="C379" s="24">
        <v>1</v>
      </c>
      <c r="D379" s="18">
        <v>0</v>
      </c>
      <c r="E379" s="24">
        <v>25</v>
      </c>
      <c r="F379" s="24">
        <v>1</v>
      </c>
      <c r="G379" s="24">
        <v>5</v>
      </c>
      <c r="H379" s="25">
        <f>CONVERT(379,"ft","m")*100</f>
        <v>11551.92</v>
      </c>
      <c r="I379" s="24">
        <f t="shared" si="10"/>
        <v>115.5192</v>
      </c>
      <c r="J379" s="24">
        <f>I379*I379</f>
        <v>13344.685568639999</v>
      </c>
      <c r="K379" s="24">
        <v>66</v>
      </c>
      <c r="L379" s="25">
        <f t="shared" si="11"/>
        <v>4.945789067904301E-3</v>
      </c>
      <c r="M379" s="16">
        <v>0</v>
      </c>
      <c r="N379" s="16">
        <v>0</v>
      </c>
      <c r="O379" s="22">
        <v>0</v>
      </c>
      <c r="P379" s="22">
        <v>0</v>
      </c>
      <c r="Q379" s="22">
        <v>9</v>
      </c>
    </row>
    <row r="380" spans="1:19" s="25" customFormat="1" x14ac:dyDescent="0.3">
      <c r="A380" s="15">
        <v>378</v>
      </c>
      <c r="B380" s="41">
        <v>0</v>
      </c>
      <c r="C380" s="24">
        <v>1</v>
      </c>
      <c r="D380" s="18">
        <v>0</v>
      </c>
      <c r="E380" s="24">
        <v>40</v>
      </c>
      <c r="F380" s="24">
        <v>11</v>
      </c>
      <c r="G380" s="24">
        <v>5.5</v>
      </c>
      <c r="H380" s="25">
        <f>CONVERT(380,"ft","m")*100</f>
        <v>11582.4</v>
      </c>
      <c r="I380" s="24">
        <f t="shared" si="10"/>
        <v>115.824</v>
      </c>
      <c r="J380" s="24">
        <f>I380*I380</f>
        <v>13415.198976</v>
      </c>
      <c r="K380" s="24">
        <v>55</v>
      </c>
      <c r="L380" s="25">
        <f t="shared" si="11"/>
        <v>4.0998273747855588E-3</v>
      </c>
      <c r="M380" s="16">
        <v>0</v>
      </c>
      <c r="N380" s="16">
        <v>0</v>
      </c>
      <c r="O380" s="22">
        <v>0</v>
      </c>
      <c r="P380" s="22">
        <v>0</v>
      </c>
      <c r="Q380" s="22">
        <v>9</v>
      </c>
    </row>
    <row r="381" spans="1:19" s="25" customFormat="1" x14ac:dyDescent="0.3">
      <c r="A381" s="15">
        <v>379</v>
      </c>
      <c r="B381" s="41">
        <v>0</v>
      </c>
      <c r="C381" s="24">
        <v>1</v>
      </c>
      <c r="D381" s="18">
        <v>0</v>
      </c>
      <c r="E381" s="24">
        <v>53</v>
      </c>
      <c r="F381" s="24">
        <v>4</v>
      </c>
      <c r="G381" s="24">
        <v>5</v>
      </c>
      <c r="H381" s="25">
        <f>CONVERT(381,"ft","m")*100</f>
        <v>11612.88</v>
      </c>
      <c r="I381" s="24">
        <f t="shared" si="10"/>
        <v>116.1288</v>
      </c>
      <c r="J381" s="24">
        <f>I381*I381</f>
        <v>13485.89818944</v>
      </c>
      <c r="K381" s="24">
        <v>60</v>
      </c>
      <c r="L381" s="25">
        <f t="shared" si="11"/>
        <v>4.4490918704237596E-3</v>
      </c>
      <c r="M381" s="16">
        <v>0</v>
      </c>
      <c r="N381" s="16">
        <v>0</v>
      </c>
      <c r="O381" s="22">
        <v>0</v>
      </c>
      <c r="P381" s="22">
        <v>0</v>
      </c>
      <c r="Q381" s="22">
        <v>9</v>
      </c>
    </row>
    <row r="382" spans="1:19" s="25" customFormat="1" x14ac:dyDescent="0.3">
      <c r="A382" s="15">
        <v>380</v>
      </c>
      <c r="B382" s="41">
        <v>0</v>
      </c>
      <c r="C382" s="24">
        <v>1</v>
      </c>
      <c r="D382" s="18">
        <v>0</v>
      </c>
      <c r="E382" s="24">
        <v>55</v>
      </c>
      <c r="F382" s="24">
        <v>5</v>
      </c>
      <c r="G382" s="24">
        <v>4.9000000000000004</v>
      </c>
      <c r="H382" s="25">
        <f>CONVERT(382,"ft","m")*100</f>
        <v>11643.36</v>
      </c>
      <c r="I382" s="24">
        <f t="shared" si="10"/>
        <v>116.43360000000001</v>
      </c>
      <c r="J382" s="24">
        <f>I382*I382</f>
        <v>13556.783208960003</v>
      </c>
      <c r="K382" s="24">
        <v>40</v>
      </c>
      <c r="L382" s="25">
        <f t="shared" si="11"/>
        <v>2.9505524565416846E-3</v>
      </c>
      <c r="M382" s="16">
        <v>0</v>
      </c>
      <c r="N382" s="16">
        <v>0</v>
      </c>
      <c r="O382" s="22">
        <v>0</v>
      </c>
      <c r="P382" s="22">
        <v>0</v>
      </c>
      <c r="Q382" s="22">
        <v>9</v>
      </c>
    </row>
    <row r="383" spans="1:19" s="25" customFormat="1" x14ac:dyDescent="0.3">
      <c r="A383" s="15">
        <v>381</v>
      </c>
      <c r="B383" s="41">
        <v>0</v>
      </c>
      <c r="C383" s="24">
        <v>0</v>
      </c>
      <c r="D383" s="18">
        <v>0</v>
      </c>
      <c r="E383" s="24">
        <v>47</v>
      </c>
      <c r="F383" s="24">
        <v>12</v>
      </c>
      <c r="G383" s="24">
        <v>5.5</v>
      </c>
      <c r="H383" s="25">
        <f>CONVERT(383,"ft","m")*100</f>
        <v>11673.84</v>
      </c>
      <c r="I383" s="24">
        <f t="shared" si="10"/>
        <v>116.7384</v>
      </c>
      <c r="J383" s="24">
        <f>I383*I383</f>
        <v>13627.854034559999</v>
      </c>
      <c r="K383" s="24">
        <v>50</v>
      </c>
      <c r="L383" s="25">
        <f t="shared" si="11"/>
        <v>3.6689562328155903E-3</v>
      </c>
      <c r="M383" s="16">
        <v>0</v>
      </c>
      <c r="N383" s="16">
        <v>0</v>
      </c>
      <c r="O383" s="22">
        <v>0</v>
      </c>
      <c r="P383" s="22">
        <v>0</v>
      </c>
      <c r="Q383" s="22">
        <v>9</v>
      </c>
    </row>
    <row r="384" spans="1:19" s="25" customFormat="1" x14ac:dyDescent="0.3">
      <c r="A384" s="15">
        <v>382</v>
      </c>
      <c r="B384" s="41">
        <v>0</v>
      </c>
      <c r="C384" s="24">
        <v>0</v>
      </c>
      <c r="D384" s="18">
        <v>0</v>
      </c>
      <c r="E384" s="24">
        <v>58</v>
      </c>
      <c r="F384" s="24">
        <v>11</v>
      </c>
      <c r="G384" s="24">
        <v>4.9000000000000004</v>
      </c>
      <c r="H384" s="25">
        <f>CONVERT(384,"ft","m")*100</f>
        <v>11704.32</v>
      </c>
      <c r="I384" s="24">
        <f t="shared" si="10"/>
        <v>117.0432</v>
      </c>
      <c r="J384" s="24">
        <f>I384*I384</f>
        <v>13699.11066624</v>
      </c>
      <c r="K384" s="24">
        <v>50</v>
      </c>
      <c r="L384" s="25">
        <f t="shared" si="11"/>
        <v>3.6498719674715584E-3</v>
      </c>
      <c r="M384" s="16">
        <v>0</v>
      </c>
      <c r="N384" s="16">
        <v>0</v>
      </c>
      <c r="O384" s="22">
        <v>0</v>
      </c>
      <c r="P384" s="22">
        <v>0</v>
      </c>
      <c r="Q384" s="22">
        <v>9</v>
      </c>
    </row>
    <row r="385" spans="1:17" s="25" customFormat="1" x14ac:dyDescent="0.3">
      <c r="A385" s="15">
        <v>383</v>
      </c>
      <c r="B385" s="41">
        <v>0</v>
      </c>
      <c r="C385" s="24">
        <v>0</v>
      </c>
      <c r="D385" s="18">
        <v>0</v>
      </c>
      <c r="E385" s="24">
        <v>55</v>
      </c>
      <c r="F385" s="24">
        <v>11</v>
      </c>
      <c r="G385" s="24">
        <v>4.9000000000000004</v>
      </c>
      <c r="H385" s="25">
        <f>CONVERT(385,"ft","m")*100</f>
        <v>11734.8</v>
      </c>
      <c r="I385" s="24">
        <f t="shared" si="10"/>
        <v>117.348</v>
      </c>
      <c r="J385" s="24">
        <f>I385*I385</f>
        <v>13770.553104000001</v>
      </c>
      <c r="K385" s="24">
        <v>60</v>
      </c>
      <c r="L385" s="25">
        <f t="shared" si="11"/>
        <v>4.3571234609720583E-3</v>
      </c>
      <c r="M385" s="16">
        <v>0</v>
      </c>
      <c r="N385" s="16">
        <v>0</v>
      </c>
      <c r="O385" s="22">
        <v>0</v>
      </c>
      <c r="P385" s="22">
        <v>0</v>
      </c>
      <c r="Q385" s="22">
        <v>9</v>
      </c>
    </row>
    <row r="386" spans="1:17" s="25" customFormat="1" ht="15.6" x14ac:dyDescent="0.3">
      <c r="A386" s="15">
        <v>384</v>
      </c>
      <c r="B386" s="41">
        <v>0</v>
      </c>
      <c r="C386" s="24">
        <v>0</v>
      </c>
      <c r="D386" s="18">
        <v>0</v>
      </c>
      <c r="E386" s="24">
        <v>70</v>
      </c>
      <c r="F386" s="26">
        <v>11</v>
      </c>
      <c r="G386" s="24">
        <v>6</v>
      </c>
      <c r="H386" s="25">
        <f>CONVERT(386,"ft","m")*100</f>
        <v>11765.28</v>
      </c>
      <c r="I386" s="24">
        <f t="shared" ref="I386:I407" si="12">H386/100</f>
        <v>117.65280000000001</v>
      </c>
      <c r="J386" s="24">
        <f>I386*I386</f>
        <v>13842.181347840004</v>
      </c>
      <c r="K386" s="24">
        <v>55</v>
      </c>
      <c r="L386" s="25">
        <f t="shared" ref="L386:L449" si="13">K386/J386</f>
        <v>3.9733621903878932E-3</v>
      </c>
      <c r="M386" s="16">
        <v>0</v>
      </c>
      <c r="N386" s="16">
        <v>0</v>
      </c>
      <c r="O386" s="22">
        <v>0</v>
      </c>
      <c r="P386" s="22">
        <v>0</v>
      </c>
      <c r="Q386" s="22">
        <v>9</v>
      </c>
    </row>
    <row r="387" spans="1:17" s="25" customFormat="1" ht="15.6" x14ac:dyDescent="0.3">
      <c r="A387" s="15">
        <v>385</v>
      </c>
      <c r="B387" s="41">
        <v>0</v>
      </c>
      <c r="C387" s="24">
        <v>1</v>
      </c>
      <c r="D387" s="18">
        <v>0</v>
      </c>
      <c r="E387" s="24">
        <v>77</v>
      </c>
      <c r="F387" s="26">
        <v>1</v>
      </c>
      <c r="G387" s="24">
        <v>5.5</v>
      </c>
      <c r="H387" s="25">
        <f>CONVERT(387,"ft","m")*100</f>
        <v>11795.76</v>
      </c>
      <c r="I387" s="24">
        <f t="shared" si="12"/>
        <v>117.9576</v>
      </c>
      <c r="J387" s="24">
        <f>I387*I387</f>
        <v>13913.99539776</v>
      </c>
      <c r="K387" s="24">
        <v>60</v>
      </c>
      <c r="L387" s="25">
        <f t="shared" si="13"/>
        <v>4.3122049623258709E-3</v>
      </c>
      <c r="M387" s="16">
        <v>0</v>
      </c>
      <c r="N387" s="16">
        <v>0</v>
      </c>
      <c r="O387" s="22">
        <v>0</v>
      </c>
      <c r="P387" s="22">
        <v>0</v>
      </c>
      <c r="Q387" s="22">
        <v>9</v>
      </c>
    </row>
    <row r="388" spans="1:17" s="25" customFormat="1" ht="15.6" x14ac:dyDescent="0.3">
      <c r="A388" s="15">
        <v>386</v>
      </c>
      <c r="B388" s="41">
        <v>0</v>
      </c>
      <c r="C388" s="24">
        <v>1</v>
      </c>
      <c r="D388" s="18">
        <v>0</v>
      </c>
      <c r="E388" s="24">
        <v>56</v>
      </c>
      <c r="F388" s="26">
        <v>12</v>
      </c>
      <c r="G388" s="24">
        <v>5.3</v>
      </c>
      <c r="H388" s="25">
        <f>CONVERT(388,"ft","m")*100</f>
        <v>11826.24</v>
      </c>
      <c r="I388" s="24">
        <f t="shared" si="12"/>
        <v>118.2624</v>
      </c>
      <c r="J388" s="24">
        <f>I388*I388</f>
        <v>13985.99525376</v>
      </c>
      <c r="K388" s="24">
        <v>70</v>
      </c>
      <c r="L388" s="25">
        <f t="shared" si="13"/>
        <v>5.0050067034865591E-3</v>
      </c>
      <c r="M388" s="16">
        <v>0</v>
      </c>
      <c r="N388" s="16">
        <v>0</v>
      </c>
      <c r="O388" s="22">
        <v>0</v>
      </c>
      <c r="P388" s="22">
        <v>0</v>
      </c>
      <c r="Q388" s="22">
        <v>9</v>
      </c>
    </row>
    <row r="389" spans="1:17" s="25" customFormat="1" ht="15.6" x14ac:dyDescent="0.3">
      <c r="A389" s="15">
        <v>387</v>
      </c>
      <c r="B389" s="41">
        <v>0</v>
      </c>
      <c r="C389" s="24">
        <v>0</v>
      </c>
      <c r="D389" s="18">
        <v>0</v>
      </c>
      <c r="E389" s="24">
        <v>45</v>
      </c>
      <c r="F389" s="26">
        <v>4</v>
      </c>
      <c r="G389" s="24">
        <v>4.9000000000000004</v>
      </c>
      <c r="H389" s="25">
        <f>CONVERT(389,"ft","m")*100</f>
        <v>11856.72</v>
      </c>
      <c r="I389" s="24">
        <f t="shared" si="12"/>
        <v>118.5672</v>
      </c>
      <c r="J389" s="24">
        <f>I389*I389</f>
        <v>14058.180915839999</v>
      </c>
      <c r="K389" s="24">
        <v>80</v>
      </c>
      <c r="L389" s="25">
        <f t="shared" si="13"/>
        <v>5.6906366818668778E-3</v>
      </c>
      <c r="M389" s="16">
        <v>0</v>
      </c>
      <c r="N389" s="16">
        <v>0</v>
      </c>
      <c r="O389" s="22">
        <v>0</v>
      </c>
      <c r="P389" s="22">
        <v>0</v>
      </c>
      <c r="Q389" s="22">
        <v>9</v>
      </c>
    </row>
    <row r="390" spans="1:17" s="25" customFormat="1" ht="15.6" x14ac:dyDescent="0.3">
      <c r="A390" s="15">
        <v>388</v>
      </c>
      <c r="B390" s="41">
        <v>0</v>
      </c>
      <c r="C390" s="24">
        <v>0</v>
      </c>
      <c r="D390" s="18">
        <v>0</v>
      </c>
      <c r="E390" s="24">
        <v>67</v>
      </c>
      <c r="F390" s="26">
        <v>1</v>
      </c>
      <c r="G390" s="24">
        <v>5.5</v>
      </c>
      <c r="H390" s="25">
        <f>CONVERT(390,"ft","m")*100</f>
        <v>11887.2</v>
      </c>
      <c r="I390" s="24">
        <f t="shared" si="12"/>
        <v>118.87200000000001</v>
      </c>
      <c r="J390" s="24">
        <f>I390*I390</f>
        <v>14130.552384000004</v>
      </c>
      <c r="K390" s="24">
        <v>90</v>
      </c>
      <c r="L390" s="25">
        <f t="shared" si="13"/>
        <v>6.3691777613666973E-3</v>
      </c>
      <c r="M390" s="16">
        <v>0</v>
      </c>
      <c r="N390" s="16">
        <v>0</v>
      </c>
      <c r="O390" s="22">
        <v>0</v>
      </c>
      <c r="P390" s="22">
        <v>0</v>
      </c>
      <c r="Q390" s="22">
        <v>9</v>
      </c>
    </row>
    <row r="391" spans="1:17" s="25" customFormat="1" ht="15.6" x14ac:dyDescent="0.3">
      <c r="A391" s="15">
        <v>389</v>
      </c>
      <c r="B391" s="41">
        <v>0</v>
      </c>
      <c r="C391" s="24">
        <v>0</v>
      </c>
      <c r="D391" s="18">
        <v>0</v>
      </c>
      <c r="E391" s="24">
        <v>76</v>
      </c>
      <c r="F391" s="26">
        <v>8</v>
      </c>
      <c r="G391" s="24">
        <v>5.3</v>
      </c>
      <c r="H391" s="25">
        <f>CONVERT(391,"ft","m")*100</f>
        <v>11917.68</v>
      </c>
      <c r="I391" s="24">
        <f t="shared" si="12"/>
        <v>119.1768</v>
      </c>
      <c r="J391" s="24">
        <f>I391*I391</f>
        <v>14203.10965824</v>
      </c>
      <c r="K391" s="24">
        <v>65</v>
      </c>
      <c r="L391" s="25">
        <f t="shared" si="13"/>
        <v>4.5764625891126561E-3</v>
      </c>
      <c r="M391" s="16">
        <v>0</v>
      </c>
      <c r="N391" s="16">
        <v>0</v>
      </c>
      <c r="O391" s="22">
        <v>0</v>
      </c>
      <c r="P391" s="22">
        <v>0</v>
      </c>
      <c r="Q391" s="22">
        <v>9</v>
      </c>
    </row>
    <row r="392" spans="1:17" s="25" customFormat="1" ht="15.6" x14ac:dyDescent="0.3">
      <c r="A392" s="15">
        <v>390</v>
      </c>
      <c r="B392" s="41">
        <v>0</v>
      </c>
      <c r="C392" s="24">
        <v>1</v>
      </c>
      <c r="D392" s="18">
        <v>0</v>
      </c>
      <c r="E392" s="24">
        <v>54</v>
      </c>
      <c r="F392" s="26">
        <v>14</v>
      </c>
      <c r="G392" s="24">
        <v>5.5</v>
      </c>
      <c r="H392" s="25">
        <f>CONVERT(392,"ft","m")*100</f>
        <v>11948.16</v>
      </c>
      <c r="I392" s="24">
        <f t="shared" si="12"/>
        <v>119.4816</v>
      </c>
      <c r="J392" s="24">
        <f>I392*I392</f>
        <v>14275.852738560001</v>
      </c>
      <c r="K392" s="24">
        <v>65</v>
      </c>
      <c r="L392" s="25">
        <f t="shared" si="13"/>
        <v>4.5531430724576475E-3</v>
      </c>
      <c r="M392" s="16">
        <v>0</v>
      </c>
      <c r="N392" s="16">
        <v>0</v>
      </c>
      <c r="O392" s="22">
        <v>0</v>
      </c>
      <c r="P392" s="22">
        <v>0</v>
      </c>
      <c r="Q392" s="22">
        <v>9</v>
      </c>
    </row>
    <row r="393" spans="1:17" s="25" customFormat="1" ht="15.6" x14ac:dyDescent="0.3">
      <c r="A393" s="15">
        <v>391</v>
      </c>
      <c r="B393" s="41">
        <v>0</v>
      </c>
      <c r="C393" s="24">
        <v>0</v>
      </c>
      <c r="D393" s="18">
        <v>0</v>
      </c>
      <c r="E393" s="24">
        <v>55</v>
      </c>
      <c r="F393" s="26">
        <v>1</v>
      </c>
      <c r="G393" s="24">
        <v>4.9000000000000004</v>
      </c>
      <c r="H393" s="25">
        <f>CONVERT(393,"ft","m")*100</f>
        <v>11978.64</v>
      </c>
      <c r="I393" s="24">
        <f t="shared" si="12"/>
        <v>119.7864</v>
      </c>
      <c r="J393" s="24">
        <f>I393*I393</f>
        <v>14348.78162496</v>
      </c>
      <c r="K393" s="24">
        <v>68</v>
      </c>
      <c r="L393" s="25">
        <f t="shared" si="13"/>
        <v>4.7390783257661821E-3</v>
      </c>
      <c r="M393" s="16">
        <v>0</v>
      </c>
      <c r="N393" s="16">
        <v>0</v>
      </c>
      <c r="O393" s="22">
        <v>0</v>
      </c>
      <c r="P393" s="22">
        <v>0</v>
      </c>
      <c r="Q393" s="22">
        <v>9</v>
      </c>
    </row>
    <row r="394" spans="1:17" s="25" customFormat="1" ht="15.6" x14ac:dyDescent="0.3">
      <c r="A394" s="15">
        <v>392</v>
      </c>
      <c r="B394" s="41">
        <v>0</v>
      </c>
      <c r="C394" s="24">
        <v>1</v>
      </c>
      <c r="D394" s="18">
        <v>0</v>
      </c>
      <c r="E394" s="24">
        <v>66</v>
      </c>
      <c r="F394" s="26">
        <v>8</v>
      </c>
      <c r="G394" s="24">
        <v>5.5</v>
      </c>
      <c r="H394" s="25">
        <f>CONVERT(394,"ft","m")*100</f>
        <v>12009.12</v>
      </c>
      <c r="I394" s="24">
        <f t="shared" si="12"/>
        <v>120.09120000000001</v>
      </c>
      <c r="J394" s="24">
        <f>I394*I394</f>
        <v>14421.896317440003</v>
      </c>
      <c r="K394" s="24">
        <v>70</v>
      </c>
      <c r="L394" s="25">
        <f t="shared" si="13"/>
        <v>4.8537306370280116E-3</v>
      </c>
      <c r="M394" s="16">
        <v>0</v>
      </c>
      <c r="N394" s="16">
        <v>0</v>
      </c>
      <c r="O394" s="22">
        <v>0</v>
      </c>
      <c r="P394" s="22">
        <v>0</v>
      </c>
      <c r="Q394" s="22">
        <v>9</v>
      </c>
    </row>
    <row r="395" spans="1:17" s="25" customFormat="1" ht="15.6" x14ac:dyDescent="0.3">
      <c r="A395" s="15">
        <v>393</v>
      </c>
      <c r="B395" s="41">
        <v>0</v>
      </c>
      <c r="C395" s="24">
        <v>2</v>
      </c>
      <c r="D395" s="18">
        <v>0</v>
      </c>
      <c r="E395" s="24">
        <v>85</v>
      </c>
      <c r="F395" s="26">
        <v>5</v>
      </c>
      <c r="G395" s="24">
        <v>5</v>
      </c>
      <c r="H395" s="25">
        <f>CONVERT(395,"ft","m")*100</f>
        <v>12039.6</v>
      </c>
      <c r="I395" s="24">
        <f t="shared" si="12"/>
        <v>120.396</v>
      </c>
      <c r="J395" s="24">
        <f>I395*I395</f>
        <v>14495.196816</v>
      </c>
      <c r="K395" s="24">
        <v>55</v>
      </c>
      <c r="L395" s="25">
        <f t="shared" si="13"/>
        <v>3.7943603455794566E-3</v>
      </c>
      <c r="M395" s="16">
        <v>0</v>
      </c>
      <c r="N395" s="16">
        <v>0</v>
      </c>
      <c r="O395" s="22">
        <v>0</v>
      </c>
      <c r="P395" s="22">
        <v>0</v>
      </c>
      <c r="Q395" s="22">
        <v>9</v>
      </c>
    </row>
    <row r="396" spans="1:17" s="25" customFormat="1" ht="15.6" x14ac:dyDescent="0.3">
      <c r="A396" s="15">
        <v>394</v>
      </c>
      <c r="B396" s="41">
        <v>0</v>
      </c>
      <c r="C396" s="24">
        <v>1</v>
      </c>
      <c r="D396" s="18">
        <v>0</v>
      </c>
      <c r="E396" s="24">
        <v>67</v>
      </c>
      <c r="F396" s="26">
        <v>12</v>
      </c>
      <c r="G396" s="24">
        <v>5.5</v>
      </c>
      <c r="H396" s="25">
        <f>CONVERT(396,"ft","m")*100</f>
        <v>12070.08</v>
      </c>
      <c r="I396" s="24">
        <f t="shared" si="12"/>
        <v>120.7008</v>
      </c>
      <c r="J396" s="24">
        <f>I396*I396</f>
        <v>14568.68312064</v>
      </c>
      <c r="K396" s="24">
        <v>55</v>
      </c>
      <c r="L396" s="25">
        <f t="shared" si="13"/>
        <v>3.7752211057483593E-3</v>
      </c>
      <c r="M396" s="16">
        <v>0</v>
      </c>
      <c r="N396" s="16">
        <v>0</v>
      </c>
      <c r="O396" s="22">
        <v>0</v>
      </c>
      <c r="P396" s="22">
        <v>0</v>
      </c>
      <c r="Q396" s="22">
        <v>9</v>
      </c>
    </row>
    <row r="397" spans="1:17" s="25" customFormat="1" ht="15.6" x14ac:dyDescent="0.3">
      <c r="A397" s="15">
        <v>395</v>
      </c>
      <c r="B397" s="41">
        <v>0</v>
      </c>
      <c r="C397" s="24">
        <v>0</v>
      </c>
      <c r="D397" s="18">
        <v>0</v>
      </c>
      <c r="E397" s="24">
        <v>65</v>
      </c>
      <c r="F397" s="26">
        <v>1</v>
      </c>
      <c r="G397" s="24">
        <v>5.5</v>
      </c>
      <c r="H397" s="25">
        <f>CONVERT(397,"ft","m")*100</f>
        <v>12100.56</v>
      </c>
      <c r="I397" s="24">
        <f t="shared" si="12"/>
        <v>121.0056</v>
      </c>
      <c r="J397" s="24">
        <f>I397*I397</f>
        <v>14642.355231359999</v>
      </c>
      <c r="K397" s="24">
        <v>67</v>
      </c>
      <c r="L397" s="25">
        <f t="shared" si="13"/>
        <v>4.5757665991126868E-3</v>
      </c>
      <c r="M397" s="16">
        <v>0</v>
      </c>
      <c r="N397" s="16">
        <v>0</v>
      </c>
      <c r="O397" s="22">
        <v>0</v>
      </c>
      <c r="P397" s="22">
        <v>0</v>
      </c>
      <c r="Q397" s="22">
        <v>9</v>
      </c>
    </row>
    <row r="398" spans="1:17" s="25" customFormat="1" ht="15.6" x14ac:dyDescent="0.3">
      <c r="A398" s="15">
        <v>396</v>
      </c>
      <c r="B398" s="41">
        <v>0</v>
      </c>
      <c r="C398" s="24">
        <v>2</v>
      </c>
      <c r="D398" s="18">
        <v>0</v>
      </c>
      <c r="E398" s="24">
        <v>65</v>
      </c>
      <c r="F398" s="26">
        <v>1</v>
      </c>
      <c r="G398" s="24">
        <v>4.9000000000000004</v>
      </c>
      <c r="H398" s="25">
        <f>CONVERT(398,"ft","m")*100</f>
        <v>12131.04</v>
      </c>
      <c r="I398" s="24">
        <f t="shared" si="12"/>
        <v>121.31040000000002</v>
      </c>
      <c r="J398" s="24">
        <f>I398*I398</f>
        <v>14716.213148160004</v>
      </c>
      <c r="K398" s="24">
        <v>68</v>
      </c>
      <c r="L398" s="25">
        <f t="shared" si="13"/>
        <v>4.6207539477302398E-3</v>
      </c>
      <c r="M398" s="16">
        <v>0</v>
      </c>
      <c r="N398" s="16">
        <v>0</v>
      </c>
      <c r="O398" s="22">
        <v>0</v>
      </c>
      <c r="P398" s="22">
        <v>0</v>
      </c>
      <c r="Q398" s="22">
        <v>9</v>
      </c>
    </row>
    <row r="399" spans="1:17" s="25" customFormat="1" ht="15.6" x14ac:dyDescent="0.3">
      <c r="A399" s="15">
        <v>397</v>
      </c>
      <c r="B399" s="41">
        <v>0</v>
      </c>
      <c r="C399" s="24">
        <v>1</v>
      </c>
      <c r="D399" s="18">
        <v>0</v>
      </c>
      <c r="E399" s="24">
        <v>65</v>
      </c>
      <c r="F399" s="26">
        <v>1</v>
      </c>
      <c r="G399" s="24">
        <v>5</v>
      </c>
      <c r="H399" s="25">
        <f>CONVERT(399,"ft","m")*100</f>
        <v>12161.52</v>
      </c>
      <c r="I399" s="24">
        <f t="shared" si="12"/>
        <v>121.6152</v>
      </c>
      <c r="J399" s="24">
        <f>I399*I399</f>
        <v>14790.256871040001</v>
      </c>
      <c r="K399" s="24">
        <v>69</v>
      </c>
      <c r="L399" s="25">
        <f t="shared" si="13"/>
        <v>4.6652333763793621E-3</v>
      </c>
      <c r="M399" s="16">
        <v>0</v>
      </c>
      <c r="N399" s="16">
        <v>0</v>
      </c>
      <c r="O399" s="22">
        <v>0</v>
      </c>
      <c r="P399" s="22">
        <v>0</v>
      </c>
      <c r="Q399" s="22">
        <v>9</v>
      </c>
    </row>
    <row r="400" spans="1:17" s="25" customFormat="1" ht="15.6" x14ac:dyDescent="0.3">
      <c r="A400" s="15">
        <v>398</v>
      </c>
      <c r="B400" s="41">
        <v>0</v>
      </c>
      <c r="C400" s="24">
        <v>1</v>
      </c>
      <c r="D400" s="18">
        <v>0</v>
      </c>
      <c r="E400" s="24">
        <v>44</v>
      </c>
      <c r="F400" s="26">
        <v>1</v>
      </c>
      <c r="G400" s="24">
        <v>5.5</v>
      </c>
      <c r="H400" s="25">
        <f>CONVERT(400,"ft","m")*100</f>
        <v>12192</v>
      </c>
      <c r="I400" s="24">
        <f t="shared" si="12"/>
        <v>121.92</v>
      </c>
      <c r="J400" s="24">
        <f>I400*I400</f>
        <v>14864.4864</v>
      </c>
      <c r="K400" s="24">
        <v>80</v>
      </c>
      <c r="L400" s="25">
        <f t="shared" si="13"/>
        <v>5.381955208354861E-3</v>
      </c>
      <c r="M400" s="16">
        <v>0</v>
      </c>
      <c r="N400" s="16">
        <v>0</v>
      </c>
      <c r="O400" s="22">
        <v>0</v>
      </c>
      <c r="P400" s="22">
        <v>0</v>
      </c>
      <c r="Q400" s="22">
        <v>9</v>
      </c>
    </row>
    <row r="401" spans="1:20" s="25" customFormat="1" ht="15.6" x14ac:dyDescent="0.3">
      <c r="A401" s="15">
        <v>399</v>
      </c>
      <c r="B401" s="41">
        <v>0</v>
      </c>
      <c r="C401" s="24">
        <v>0</v>
      </c>
      <c r="D401" s="18">
        <v>0</v>
      </c>
      <c r="E401" s="24">
        <v>50</v>
      </c>
      <c r="F401" s="26">
        <v>1</v>
      </c>
      <c r="G401" s="24">
        <v>5.5</v>
      </c>
      <c r="H401" s="25">
        <f>CONVERT(401,"ft","m")*100</f>
        <v>12222.48</v>
      </c>
      <c r="I401" s="24">
        <f t="shared" si="12"/>
        <v>122.2248</v>
      </c>
      <c r="J401" s="24">
        <f>I401*I401</f>
        <v>14938.901735040001</v>
      </c>
      <c r="K401" s="24">
        <v>90</v>
      </c>
      <c r="L401" s="25">
        <f t="shared" si="13"/>
        <v>6.0245392597301946E-3</v>
      </c>
      <c r="M401" s="16">
        <v>0</v>
      </c>
      <c r="N401" s="16">
        <v>0</v>
      </c>
      <c r="O401" s="22">
        <v>0</v>
      </c>
      <c r="P401" s="22">
        <v>0</v>
      </c>
      <c r="Q401" s="22">
        <v>9</v>
      </c>
    </row>
    <row r="402" spans="1:20" s="25" customFormat="1" ht="15.6" x14ac:dyDescent="0.3">
      <c r="A402" s="15">
        <v>400</v>
      </c>
      <c r="B402" s="41">
        <v>0</v>
      </c>
      <c r="C402" s="24">
        <v>0</v>
      </c>
      <c r="D402" s="18">
        <v>0</v>
      </c>
      <c r="E402" s="24">
        <v>30</v>
      </c>
      <c r="F402" s="26">
        <v>1</v>
      </c>
      <c r="G402" s="24">
        <v>4.9000000000000004</v>
      </c>
      <c r="H402" s="25">
        <f>CONVERT(402,"ft","m")*100</f>
        <v>12252.960000000001</v>
      </c>
      <c r="I402" s="24">
        <f t="shared" si="12"/>
        <v>122.52960000000002</v>
      </c>
      <c r="J402" s="24">
        <f>I402*I402</f>
        <v>15013.502876160004</v>
      </c>
      <c r="K402" s="24">
        <v>60</v>
      </c>
      <c r="L402" s="25">
        <f t="shared" si="13"/>
        <v>3.9964024714894625E-3</v>
      </c>
      <c r="M402" s="16">
        <v>0</v>
      </c>
      <c r="N402" s="16">
        <v>0</v>
      </c>
      <c r="O402" s="22">
        <v>0</v>
      </c>
      <c r="P402" s="22">
        <v>0</v>
      </c>
      <c r="Q402" s="22">
        <v>9</v>
      </c>
    </row>
    <row r="403" spans="1:20" s="25" customFormat="1" ht="15.6" x14ac:dyDescent="0.3">
      <c r="A403" s="15">
        <v>401</v>
      </c>
      <c r="B403" s="41">
        <v>0</v>
      </c>
      <c r="C403" s="24">
        <v>0</v>
      </c>
      <c r="D403" s="18">
        <v>0</v>
      </c>
      <c r="E403" s="24">
        <v>25</v>
      </c>
      <c r="F403" s="26">
        <v>8</v>
      </c>
      <c r="G403" s="24">
        <v>5</v>
      </c>
      <c r="H403" s="25">
        <f>CONVERT(403,"ft","m")*100</f>
        <v>12283.44</v>
      </c>
      <c r="I403" s="24">
        <f t="shared" si="12"/>
        <v>122.8344</v>
      </c>
      <c r="J403" s="24">
        <f>I403*I403</f>
        <v>15088.289823360001</v>
      </c>
      <c r="K403" s="24">
        <v>66</v>
      </c>
      <c r="L403" s="25">
        <f t="shared" si="13"/>
        <v>4.3742531971925304E-3</v>
      </c>
      <c r="M403" s="16">
        <v>0</v>
      </c>
      <c r="N403" s="16">
        <v>0</v>
      </c>
      <c r="O403" s="22">
        <v>0</v>
      </c>
      <c r="P403" s="22">
        <v>0</v>
      </c>
      <c r="Q403" s="22">
        <v>9</v>
      </c>
    </row>
    <row r="404" spans="1:20" s="25" customFormat="1" ht="15.6" x14ac:dyDescent="0.3">
      <c r="A404" s="15">
        <v>402</v>
      </c>
      <c r="B404" s="41">
        <v>0</v>
      </c>
      <c r="C404" s="24">
        <v>0</v>
      </c>
      <c r="D404" s="18">
        <v>0</v>
      </c>
      <c r="E404" s="24">
        <v>40</v>
      </c>
      <c r="F404" s="26">
        <v>8</v>
      </c>
      <c r="G404" s="24">
        <v>5.5</v>
      </c>
      <c r="H404" s="25">
        <f>CONVERT(404,"ft","m")*100</f>
        <v>12313.92</v>
      </c>
      <c r="I404" s="24">
        <f t="shared" si="12"/>
        <v>123.1392</v>
      </c>
      <c r="J404" s="24">
        <f>I404*I404</f>
        <v>15163.262576640001</v>
      </c>
      <c r="K404" s="24">
        <v>55</v>
      </c>
      <c r="L404" s="25">
        <f t="shared" si="13"/>
        <v>3.6271877323242495E-3</v>
      </c>
      <c r="M404" s="16">
        <v>0</v>
      </c>
      <c r="N404" s="16">
        <v>0</v>
      </c>
      <c r="O404" s="22">
        <v>0</v>
      </c>
      <c r="P404" s="22">
        <v>0</v>
      </c>
      <c r="Q404" s="22">
        <v>9</v>
      </c>
    </row>
    <row r="405" spans="1:20" s="25" customFormat="1" ht="15.6" x14ac:dyDescent="0.3">
      <c r="A405" s="15">
        <v>403</v>
      </c>
      <c r="B405" s="42">
        <v>0</v>
      </c>
      <c r="C405" s="4">
        <v>1</v>
      </c>
      <c r="D405" s="18">
        <v>0</v>
      </c>
      <c r="E405" s="4">
        <v>53</v>
      </c>
      <c r="F405" s="8">
        <v>1</v>
      </c>
      <c r="G405" s="6">
        <v>5</v>
      </c>
      <c r="H405" s="7">
        <f>CONVERT(405,"ft","m")*100</f>
        <v>12344.4</v>
      </c>
      <c r="I405" s="6">
        <f t="shared" si="12"/>
        <v>123.444</v>
      </c>
      <c r="J405" s="6">
        <f>I405*I405</f>
        <v>15238.421136000001</v>
      </c>
      <c r="K405" s="4">
        <v>60</v>
      </c>
      <c r="L405" s="7">
        <f t="shared" si="13"/>
        <v>3.9374157902916217E-3</v>
      </c>
      <c r="M405" s="16">
        <v>0</v>
      </c>
      <c r="N405" s="16">
        <v>0</v>
      </c>
      <c r="O405" s="22">
        <v>0</v>
      </c>
      <c r="P405" s="22">
        <v>0</v>
      </c>
      <c r="Q405" s="22">
        <v>9</v>
      </c>
      <c r="R405" s="7"/>
      <c r="S405" s="7"/>
    </row>
    <row r="406" spans="1:20" s="25" customFormat="1" ht="15.6" x14ac:dyDescent="0.3">
      <c r="A406" s="15">
        <v>404</v>
      </c>
      <c r="B406" s="42">
        <v>0</v>
      </c>
      <c r="C406" s="4">
        <v>1</v>
      </c>
      <c r="D406" s="18">
        <v>0</v>
      </c>
      <c r="E406" s="4">
        <v>55</v>
      </c>
      <c r="F406" s="8">
        <v>1</v>
      </c>
      <c r="G406" s="6">
        <v>4.9000000000000004</v>
      </c>
      <c r="H406" s="7">
        <f>CONVERT(406,"ft","m")*100</f>
        <v>12374.880000000001</v>
      </c>
      <c r="I406" s="6">
        <f t="shared" si="12"/>
        <v>123.74880000000002</v>
      </c>
      <c r="J406" s="6">
        <f>I406*I406</f>
        <v>15313.765501440004</v>
      </c>
      <c r="K406" s="4">
        <v>40</v>
      </c>
      <c r="L406" s="7">
        <f t="shared" si="13"/>
        <v>2.6120290268411557E-3</v>
      </c>
      <c r="M406" s="16">
        <v>0</v>
      </c>
      <c r="N406" s="16">
        <v>0</v>
      </c>
      <c r="O406" s="22">
        <v>0</v>
      </c>
      <c r="P406" s="22">
        <v>0</v>
      </c>
      <c r="Q406" s="22">
        <v>9</v>
      </c>
      <c r="R406" s="7"/>
      <c r="S406" s="7"/>
    </row>
    <row r="407" spans="1:20" ht="15.6" x14ac:dyDescent="0.3">
      <c r="A407" s="15">
        <v>405</v>
      </c>
      <c r="B407" s="42">
        <v>0</v>
      </c>
      <c r="C407" s="4">
        <v>1</v>
      </c>
      <c r="D407" s="18">
        <v>0</v>
      </c>
      <c r="E407" s="4">
        <v>47</v>
      </c>
      <c r="F407" s="8">
        <v>11</v>
      </c>
      <c r="G407" s="6">
        <v>5.5</v>
      </c>
      <c r="H407" s="7">
        <f>CONVERT(407,"ft","m")*100</f>
        <v>12405.36</v>
      </c>
      <c r="I407" s="6">
        <f t="shared" si="12"/>
        <v>124.0536</v>
      </c>
      <c r="J407" s="6">
        <f>I407*I407</f>
        <v>15389.295672960001</v>
      </c>
      <c r="K407" s="4">
        <v>55</v>
      </c>
      <c r="L407" s="7">
        <f t="shared" si="13"/>
        <v>3.5739127487581252E-3</v>
      </c>
      <c r="M407" s="16">
        <v>0</v>
      </c>
      <c r="N407" s="16">
        <v>0</v>
      </c>
      <c r="O407" s="22">
        <v>0</v>
      </c>
      <c r="P407" s="22">
        <v>0</v>
      </c>
      <c r="Q407" s="22">
        <v>9</v>
      </c>
    </row>
    <row r="408" spans="1:20" s="12" customFormat="1" x14ac:dyDescent="0.3">
      <c r="A408" s="12">
        <v>406</v>
      </c>
      <c r="B408" s="43">
        <v>1</v>
      </c>
      <c r="C408" s="31">
        <v>1</v>
      </c>
      <c r="D408" s="18">
        <v>0</v>
      </c>
      <c r="E408" s="11">
        <v>25</v>
      </c>
      <c r="F408" s="11">
        <v>1</v>
      </c>
      <c r="G408" s="11">
        <v>5.2</v>
      </c>
      <c r="H408" s="11">
        <f>CONVERT(408,"ft","m")*100</f>
        <v>12435.84</v>
      </c>
      <c r="I408" s="11">
        <f>H408/100</f>
        <v>124.3584</v>
      </c>
      <c r="J408" s="11">
        <f>I408*I408</f>
        <v>15465.01165056</v>
      </c>
      <c r="K408" s="11">
        <v>50</v>
      </c>
      <c r="L408" s="12">
        <f t="shared" si="13"/>
        <v>3.2331045801824187E-3</v>
      </c>
      <c r="M408" s="12">
        <v>1</v>
      </c>
      <c r="N408" s="30">
        <v>0</v>
      </c>
      <c r="O408" s="30">
        <v>1</v>
      </c>
      <c r="P408" s="30">
        <v>1</v>
      </c>
      <c r="Q408" s="30">
        <v>7</v>
      </c>
    </row>
    <row r="409" spans="1:20" x14ac:dyDescent="0.3">
      <c r="A409" s="15">
        <v>407</v>
      </c>
      <c r="B409" s="36">
        <v>1</v>
      </c>
      <c r="C409" s="5">
        <v>1</v>
      </c>
      <c r="D409" s="18">
        <v>0</v>
      </c>
      <c r="E409" s="9">
        <v>40</v>
      </c>
      <c r="F409" s="9">
        <v>1</v>
      </c>
      <c r="G409" s="9">
        <v>5.0999999999999996</v>
      </c>
      <c r="H409" s="9">
        <f>CONVERT(409,"ft","m")*100</f>
        <v>12466.32</v>
      </c>
      <c r="I409" s="9">
        <f t="shared" ref="I409:I472" si="14">H409/100</f>
        <v>124.6632</v>
      </c>
      <c r="J409" s="9">
        <f>I409*I409</f>
        <v>15540.913434240001</v>
      </c>
      <c r="K409" s="9">
        <v>45</v>
      </c>
      <c r="L409" s="7">
        <f t="shared" si="13"/>
        <v>2.8955826946989644E-3</v>
      </c>
      <c r="M409" s="19">
        <v>1</v>
      </c>
      <c r="N409" s="29">
        <v>0</v>
      </c>
      <c r="O409" s="29">
        <v>1</v>
      </c>
      <c r="P409" s="29">
        <v>1</v>
      </c>
      <c r="Q409" s="29">
        <v>9</v>
      </c>
    </row>
    <row r="410" spans="1:20" x14ac:dyDescent="0.3">
      <c r="A410" s="15">
        <v>408</v>
      </c>
      <c r="B410" s="36">
        <v>1</v>
      </c>
      <c r="C410" s="5">
        <v>1</v>
      </c>
      <c r="D410" s="18">
        <v>0</v>
      </c>
      <c r="E410" s="9">
        <v>30</v>
      </c>
      <c r="F410" s="9">
        <v>15</v>
      </c>
      <c r="G410" s="9">
        <v>5.8</v>
      </c>
      <c r="H410" s="9">
        <f>CONVERT(410,"ft","m")*100</f>
        <v>12496.800000000001</v>
      </c>
      <c r="I410" s="9">
        <f t="shared" si="14"/>
        <v>124.96800000000002</v>
      </c>
      <c r="J410" s="9">
        <f>I410*I410</f>
        <v>15617.001024000005</v>
      </c>
      <c r="K410" s="9">
        <v>60</v>
      </c>
      <c r="L410" s="7">
        <f t="shared" si="13"/>
        <v>3.8419668352324995E-3</v>
      </c>
      <c r="M410" s="19">
        <v>1</v>
      </c>
      <c r="N410" s="29">
        <v>0</v>
      </c>
      <c r="O410" s="29" t="s">
        <v>5</v>
      </c>
      <c r="P410" s="29">
        <v>1</v>
      </c>
      <c r="Q410" s="29">
        <v>9</v>
      </c>
      <c r="T410" s="12"/>
    </row>
    <row r="411" spans="1:20" x14ac:dyDescent="0.3">
      <c r="A411" s="15">
        <v>409</v>
      </c>
      <c r="B411" s="36">
        <v>1</v>
      </c>
      <c r="C411" s="5">
        <v>1</v>
      </c>
      <c r="D411" s="18">
        <v>0</v>
      </c>
      <c r="E411" s="9">
        <v>52</v>
      </c>
      <c r="F411" s="9">
        <v>16</v>
      </c>
      <c r="G411" s="9">
        <v>4.5</v>
      </c>
      <c r="H411" s="9">
        <f>CONVERT(411,"ft","m")*100</f>
        <v>12527.28</v>
      </c>
      <c r="I411" s="9">
        <f t="shared" si="14"/>
        <v>125.2728</v>
      </c>
      <c r="J411" s="9">
        <f>I411*I411</f>
        <v>15693.274419840001</v>
      </c>
      <c r="K411" s="9">
        <v>60</v>
      </c>
      <c r="L411" s="7">
        <f t="shared" si="13"/>
        <v>3.823293877034728E-3</v>
      </c>
      <c r="M411" s="19">
        <v>1</v>
      </c>
      <c r="N411" s="29">
        <v>0</v>
      </c>
      <c r="O411" s="29">
        <v>1</v>
      </c>
      <c r="P411" s="29">
        <v>1</v>
      </c>
      <c r="Q411" s="29">
        <v>8</v>
      </c>
    </row>
    <row r="412" spans="1:20" x14ac:dyDescent="0.3">
      <c r="A412" s="15">
        <v>410</v>
      </c>
      <c r="B412" s="36">
        <v>1</v>
      </c>
      <c r="C412" s="5">
        <v>1</v>
      </c>
      <c r="D412" s="18">
        <v>0</v>
      </c>
      <c r="E412" s="9">
        <v>45</v>
      </c>
      <c r="F412" s="9">
        <v>17</v>
      </c>
      <c r="G412" s="9">
        <v>5.8</v>
      </c>
      <c r="H412" s="9">
        <f>CONVERT(412,"ft","m")*100</f>
        <v>12557.76</v>
      </c>
      <c r="I412" s="9">
        <f t="shared" si="14"/>
        <v>125.5776</v>
      </c>
      <c r="J412" s="9">
        <f>I412*I412</f>
        <v>15769.73362176</v>
      </c>
      <c r="K412" s="9">
        <v>50</v>
      </c>
      <c r="L412" s="7">
        <f t="shared" si="13"/>
        <v>3.1706306015852467E-3</v>
      </c>
      <c r="M412" s="19">
        <v>1</v>
      </c>
      <c r="N412" s="29">
        <v>0</v>
      </c>
      <c r="O412" s="29">
        <v>1</v>
      </c>
      <c r="P412" s="29">
        <v>1</v>
      </c>
      <c r="Q412" s="29">
        <v>8</v>
      </c>
    </row>
    <row r="413" spans="1:20" x14ac:dyDescent="0.3">
      <c r="A413" s="15">
        <v>411</v>
      </c>
      <c r="B413" s="36">
        <v>1</v>
      </c>
      <c r="C413" s="5">
        <v>1</v>
      </c>
      <c r="D413" s="18">
        <v>0</v>
      </c>
      <c r="E413" s="9">
        <v>35</v>
      </c>
      <c r="F413" s="9">
        <v>4</v>
      </c>
      <c r="G413" s="9">
        <v>6</v>
      </c>
      <c r="H413" s="9">
        <f>CONVERT(413,"ft","m")*100</f>
        <v>12588.24</v>
      </c>
      <c r="I413" s="9">
        <f t="shared" si="14"/>
        <v>125.8824</v>
      </c>
      <c r="J413" s="9">
        <f>I413*I413</f>
        <v>15846.378629760002</v>
      </c>
      <c r="K413" s="9">
        <v>50</v>
      </c>
      <c r="L413" s="7">
        <f t="shared" si="13"/>
        <v>3.1552950467874353E-3</v>
      </c>
      <c r="M413" s="19">
        <v>1</v>
      </c>
      <c r="N413" s="29">
        <v>0</v>
      </c>
      <c r="O413" s="29">
        <v>1</v>
      </c>
      <c r="P413" s="29">
        <v>1</v>
      </c>
      <c r="Q413" s="29">
        <v>8</v>
      </c>
    </row>
    <row r="414" spans="1:20" x14ac:dyDescent="0.3">
      <c r="A414" s="15">
        <v>412</v>
      </c>
      <c r="B414" s="36">
        <v>1</v>
      </c>
      <c r="C414" s="5">
        <v>1</v>
      </c>
      <c r="D414" s="18">
        <v>0</v>
      </c>
      <c r="E414" s="9">
        <v>30</v>
      </c>
      <c r="F414" s="9">
        <v>15</v>
      </c>
      <c r="G414" s="9">
        <v>5.6</v>
      </c>
      <c r="H414" s="9">
        <f>CONVERT(414,"ft","m")*100</f>
        <v>12618.720000000001</v>
      </c>
      <c r="I414" s="9">
        <f t="shared" si="14"/>
        <v>126.18720000000002</v>
      </c>
      <c r="J414" s="9">
        <f>I414*I414</f>
        <v>15923.209443840005</v>
      </c>
      <c r="K414" s="9">
        <v>58</v>
      </c>
      <c r="L414" s="7">
        <f t="shared" si="13"/>
        <v>3.6424817625216673E-3</v>
      </c>
      <c r="M414" s="19">
        <v>1</v>
      </c>
      <c r="N414" s="29">
        <v>0</v>
      </c>
      <c r="O414" s="29">
        <v>1</v>
      </c>
      <c r="P414" s="29">
        <v>1</v>
      </c>
      <c r="Q414" s="29">
        <v>8</v>
      </c>
    </row>
    <row r="415" spans="1:20" x14ac:dyDescent="0.3">
      <c r="A415" s="15">
        <v>413</v>
      </c>
      <c r="B415" s="36">
        <v>1</v>
      </c>
      <c r="C415" s="5">
        <v>1</v>
      </c>
      <c r="D415" s="18">
        <v>0</v>
      </c>
      <c r="E415" s="9">
        <v>49</v>
      </c>
      <c r="F415" s="9">
        <v>9</v>
      </c>
      <c r="G415" s="9">
        <v>5.4</v>
      </c>
      <c r="H415" s="9">
        <f>CONVERT(415,"ft","m")*100</f>
        <v>12649.2</v>
      </c>
      <c r="I415" s="9">
        <f t="shared" si="14"/>
        <v>126.492</v>
      </c>
      <c r="J415" s="9">
        <f>I415*I415</f>
        <v>16000.226064</v>
      </c>
      <c r="K415" s="9">
        <v>40</v>
      </c>
      <c r="L415" s="7">
        <f t="shared" si="13"/>
        <v>2.4999646779990644E-3</v>
      </c>
      <c r="M415" s="19">
        <v>1</v>
      </c>
      <c r="N415" s="29">
        <v>0</v>
      </c>
      <c r="O415" s="29">
        <v>1</v>
      </c>
      <c r="P415" s="29">
        <v>1</v>
      </c>
      <c r="Q415" s="29">
        <v>8</v>
      </c>
    </row>
    <row r="416" spans="1:20" x14ac:dyDescent="0.3">
      <c r="A416" s="15">
        <v>414</v>
      </c>
      <c r="B416" s="36">
        <v>1</v>
      </c>
      <c r="C416" s="5">
        <v>1</v>
      </c>
      <c r="D416" s="18">
        <v>0</v>
      </c>
      <c r="E416" s="9">
        <v>23</v>
      </c>
      <c r="F416" s="9">
        <v>18</v>
      </c>
      <c r="G416" s="9">
        <v>5.6</v>
      </c>
      <c r="H416" s="9">
        <f>CONVERT(416,"ft","m")*100</f>
        <v>12679.68</v>
      </c>
      <c r="I416" s="9">
        <f t="shared" si="14"/>
        <v>126.7968</v>
      </c>
      <c r="J416" s="9">
        <f>I416*I416</f>
        <v>16077.428490240001</v>
      </c>
      <c r="K416" s="9">
        <v>48</v>
      </c>
      <c r="L416" s="7">
        <f t="shared" si="13"/>
        <v>2.9855520756406403E-3</v>
      </c>
      <c r="M416" s="19">
        <v>1</v>
      </c>
      <c r="N416" s="29">
        <v>0</v>
      </c>
      <c r="O416" s="29">
        <v>1</v>
      </c>
      <c r="P416" s="29">
        <v>1</v>
      </c>
      <c r="Q416" s="29">
        <v>8</v>
      </c>
    </row>
    <row r="417" spans="1:17" x14ac:dyDescent="0.3">
      <c r="A417" s="15">
        <v>415</v>
      </c>
      <c r="B417" s="36">
        <v>1</v>
      </c>
      <c r="C417" s="5">
        <v>1</v>
      </c>
      <c r="D417" s="18">
        <v>0</v>
      </c>
      <c r="E417" s="9">
        <v>54</v>
      </c>
      <c r="F417" s="9">
        <v>19</v>
      </c>
      <c r="G417" s="9">
        <v>5.3</v>
      </c>
      <c r="H417" s="9">
        <f>CONVERT(417,"ft","m")*100</f>
        <v>12710.16</v>
      </c>
      <c r="I417" s="9">
        <f t="shared" si="14"/>
        <v>127.1016</v>
      </c>
      <c r="J417" s="9">
        <f>I417*I417</f>
        <v>16154.816722560001</v>
      </c>
      <c r="K417" s="9">
        <v>50</v>
      </c>
      <c r="L417" s="7">
        <f t="shared" si="13"/>
        <v>3.0950521357618142E-3</v>
      </c>
      <c r="M417" s="19">
        <v>1</v>
      </c>
      <c r="N417" s="29">
        <v>0</v>
      </c>
      <c r="O417" s="29">
        <v>1</v>
      </c>
      <c r="P417" s="29">
        <v>1</v>
      </c>
      <c r="Q417" s="29">
        <v>8</v>
      </c>
    </row>
    <row r="418" spans="1:17" x14ac:dyDescent="0.3">
      <c r="A418" s="15">
        <v>416</v>
      </c>
      <c r="B418" s="36">
        <v>1</v>
      </c>
      <c r="C418" s="5">
        <v>0</v>
      </c>
      <c r="D418" s="18">
        <v>0</v>
      </c>
      <c r="E418" s="9">
        <v>35</v>
      </c>
      <c r="F418" s="9">
        <v>11</v>
      </c>
      <c r="G418" s="9">
        <v>5.4</v>
      </c>
      <c r="H418" s="9">
        <f>CONVERT(418,"ft","m")*100</f>
        <v>12740.640000000001</v>
      </c>
      <c r="I418" s="9">
        <f t="shared" si="14"/>
        <v>127.40640000000002</v>
      </c>
      <c r="J418" s="9">
        <f>I418*I418</f>
        <v>16232.390760960005</v>
      </c>
      <c r="K418" s="9">
        <v>45</v>
      </c>
      <c r="L418" s="7">
        <f t="shared" si="13"/>
        <v>2.7722348890360645E-3</v>
      </c>
      <c r="M418" s="19">
        <v>1</v>
      </c>
      <c r="N418" s="29">
        <v>0</v>
      </c>
      <c r="O418" s="29">
        <v>1</v>
      </c>
      <c r="P418" s="29">
        <v>1</v>
      </c>
      <c r="Q418" s="29">
        <v>8</v>
      </c>
    </row>
    <row r="419" spans="1:17" x14ac:dyDescent="0.3">
      <c r="A419" s="15">
        <v>417</v>
      </c>
      <c r="B419" s="36">
        <v>1</v>
      </c>
      <c r="C419" s="5">
        <v>1</v>
      </c>
      <c r="D419" s="18">
        <v>0</v>
      </c>
      <c r="E419" s="9">
        <v>46</v>
      </c>
      <c r="F419" s="9">
        <v>1</v>
      </c>
      <c r="G419" s="9">
        <v>5.4</v>
      </c>
      <c r="H419" s="9">
        <f>CONVERT(419,"ft","m")*100</f>
        <v>12771.12</v>
      </c>
      <c r="I419" s="9">
        <f t="shared" si="14"/>
        <v>127.71120000000001</v>
      </c>
      <c r="J419" s="9">
        <f>I419*I419</f>
        <v>16310.150605440002</v>
      </c>
      <c r="K419" s="9">
        <v>46</v>
      </c>
      <c r="L419" s="7">
        <f t="shared" si="13"/>
        <v>2.8203295673221683E-3</v>
      </c>
      <c r="M419" s="19">
        <v>1</v>
      </c>
      <c r="N419" s="29">
        <v>0</v>
      </c>
      <c r="O419" s="29">
        <v>1</v>
      </c>
      <c r="P419" s="29">
        <v>1</v>
      </c>
      <c r="Q419" s="29">
        <v>8</v>
      </c>
    </row>
    <row r="420" spans="1:17" x14ac:dyDescent="0.3">
      <c r="A420" s="15">
        <v>418</v>
      </c>
      <c r="B420" s="36">
        <v>1</v>
      </c>
      <c r="C420" s="5">
        <v>1</v>
      </c>
      <c r="D420" s="18">
        <v>0</v>
      </c>
      <c r="E420" s="9">
        <v>50</v>
      </c>
      <c r="F420" s="9">
        <v>14</v>
      </c>
      <c r="G420" s="9">
        <v>5.3</v>
      </c>
      <c r="H420" s="9">
        <f>CONVERT(420,"ft","m")*100</f>
        <v>12801.599999999999</v>
      </c>
      <c r="I420" s="9">
        <f t="shared" si="14"/>
        <v>128.01599999999999</v>
      </c>
      <c r="J420" s="9">
        <f>I420*I420</f>
        <v>16388.096255999997</v>
      </c>
      <c r="K420" s="9">
        <v>50</v>
      </c>
      <c r="L420" s="7">
        <f t="shared" si="13"/>
        <v>3.0509950160741849E-3</v>
      </c>
      <c r="M420" s="19">
        <v>1</v>
      </c>
      <c r="N420" s="29">
        <v>0</v>
      </c>
      <c r="O420" s="29">
        <v>1</v>
      </c>
      <c r="P420" s="29">
        <v>1</v>
      </c>
      <c r="Q420" s="29">
        <v>8</v>
      </c>
    </row>
    <row r="421" spans="1:17" x14ac:dyDescent="0.3">
      <c r="A421" s="15">
        <v>419</v>
      </c>
      <c r="B421" s="36">
        <v>1</v>
      </c>
      <c r="C421" s="5">
        <v>0</v>
      </c>
      <c r="D421" s="18">
        <v>0</v>
      </c>
      <c r="E421" s="9">
        <v>54</v>
      </c>
      <c r="F421" s="9">
        <v>20</v>
      </c>
      <c r="G421" s="9">
        <v>5.4</v>
      </c>
      <c r="H421" s="9">
        <f>CONVERT(421,"ft","m")*100</f>
        <v>12832.08</v>
      </c>
      <c r="I421" s="9">
        <f t="shared" si="14"/>
        <v>128.32079999999999</v>
      </c>
      <c r="J421" s="9">
        <f>I421*I421</f>
        <v>16466.227712639997</v>
      </c>
      <c r="K421" s="9">
        <v>45</v>
      </c>
      <c r="L421" s="7">
        <f t="shared" si="13"/>
        <v>2.7328663726335191E-3</v>
      </c>
      <c r="M421" s="19">
        <v>1</v>
      </c>
      <c r="N421" s="29">
        <v>0</v>
      </c>
      <c r="O421" s="29">
        <v>1</v>
      </c>
      <c r="P421" s="29">
        <v>1</v>
      </c>
      <c r="Q421" s="29">
        <v>8</v>
      </c>
    </row>
    <row r="422" spans="1:17" x14ac:dyDescent="0.3">
      <c r="A422" s="15">
        <v>420</v>
      </c>
      <c r="B422" s="36">
        <v>1</v>
      </c>
      <c r="C422" s="5">
        <v>0</v>
      </c>
      <c r="D422" s="18">
        <v>0</v>
      </c>
      <c r="E422" s="9">
        <v>40</v>
      </c>
      <c r="F422" s="9">
        <v>1</v>
      </c>
      <c r="G422" s="9">
        <v>5.4</v>
      </c>
      <c r="H422" s="9">
        <f>CONVERT(422,"ft","m")*100</f>
        <v>12862.56</v>
      </c>
      <c r="I422" s="9">
        <f t="shared" si="14"/>
        <v>128.62559999999999</v>
      </c>
      <c r="J422" s="9">
        <f>I422*I422</f>
        <v>16544.544975359997</v>
      </c>
      <c r="K422" s="9">
        <v>45</v>
      </c>
      <c r="L422" s="7">
        <f t="shared" si="13"/>
        <v>2.719929745243467E-3</v>
      </c>
      <c r="M422" s="19">
        <v>1</v>
      </c>
      <c r="N422" s="29">
        <v>0</v>
      </c>
      <c r="O422" s="29">
        <v>1</v>
      </c>
      <c r="P422" s="29">
        <v>1</v>
      </c>
      <c r="Q422" s="29">
        <v>7.5</v>
      </c>
    </row>
    <row r="423" spans="1:17" x14ac:dyDescent="0.3">
      <c r="A423" s="15">
        <v>421</v>
      </c>
      <c r="B423" s="36">
        <v>1</v>
      </c>
      <c r="C423" s="5">
        <v>1</v>
      </c>
      <c r="D423" s="18">
        <v>0</v>
      </c>
      <c r="E423" s="9">
        <v>62</v>
      </c>
      <c r="F423" s="9">
        <v>21</v>
      </c>
      <c r="G423" s="9">
        <v>5.3</v>
      </c>
      <c r="H423" s="9">
        <f>CONVERT(423,"ft","m")*100</f>
        <v>12893.039999999999</v>
      </c>
      <c r="I423" s="9">
        <f t="shared" si="14"/>
        <v>128.93039999999999</v>
      </c>
      <c r="J423" s="9">
        <f>I423*I423</f>
        <v>16623.048044159998</v>
      </c>
      <c r="K423" s="9">
        <v>50</v>
      </c>
      <c r="L423" s="7">
        <f t="shared" si="13"/>
        <v>3.0078719538782768E-3</v>
      </c>
      <c r="M423" s="19">
        <v>1</v>
      </c>
      <c r="N423" s="29">
        <v>0</v>
      </c>
      <c r="O423" s="29">
        <v>1</v>
      </c>
      <c r="P423" s="29">
        <v>1</v>
      </c>
      <c r="Q423" s="29">
        <v>12</v>
      </c>
    </row>
    <row r="424" spans="1:17" x14ac:dyDescent="0.3">
      <c r="A424" s="15">
        <v>422</v>
      </c>
      <c r="B424" s="36">
        <v>1</v>
      </c>
      <c r="C424" s="5">
        <v>1</v>
      </c>
      <c r="D424" s="18">
        <v>0</v>
      </c>
      <c r="E424" s="9">
        <v>23</v>
      </c>
      <c r="F424" s="9">
        <v>1</v>
      </c>
      <c r="G424" s="9">
        <v>5.5</v>
      </c>
      <c r="H424" s="9">
        <f>CONVERT(424,"ft","m")*100</f>
        <v>12923.519999999999</v>
      </c>
      <c r="I424" s="9">
        <f t="shared" si="14"/>
        <v>129.23519999999999</v>
      </c>
      <c r="J424" s="9">
        <f>I424*I424</f>
        <v>16701.736919039999</v>
      </c>
      <c r="K424" s="9">
        <v>55</v>
      </c>
      <c r="L424" s="7">
        <f t="shared" si="13"/>
        <v>3.2930706708294475E-3</v>
      </c>
      <c r="M424" s="19">
        <v>1</v>
      </c>
      <c r="N424" s="28">
        <v>3</v>
      </c>
      <c r="O424" s="29">
        <v>1</v>
      </c>
      <c r="P424" s="29">
        <v>1</v>
      </c>
      <c r="Q424" s="29">
        <v>11</v>
      </c>
    </row>
    <row r="425" spans="1:17" x14ac:dyDescent="0.3">
      <c r="A425" s="15">
        <v>423</v>
      </c>
      <c r="B425" s="36">
        <v>1</v>
      </c>
      <c r="C425" s="5">
        <v>1</v>
      </c>
      <c r="D425" s="18">
        <v>0</v>
      </c>
      <c r="E425" s="9">
        <v>46</v>
      </c>
      <c r="F425" s="9">
        <v>9</v>
      </c>
      <c r="G425" s="9">
        <v>5.9</v>
      </c>
      <c r="H425" s="9">
        <f>CONVERT(425,"ft","m")*100</f>
        <v>12954</v>
      </c>
      <c r="I425" s="9">
        <f t="shared" si="14"/>
        <v>129.54</v>
      </c>
      <c r="J425" s="9">
        <f>I425*I425</f>
        <v>16780.611599999997</v>
      </c>
      <c r="K425" s="9">
        <v>64</v>
      </c>
      <c r="L425" s="7">
        <f t="shared" si="13"/>
        <v>3.8139253518030304E-3</v>
      </c>
      <c r="M425" s="19">
        <v>1</v>
      </c>
      <c r="N425" s="28">
        <v>0</v>
      </c>
      <c r="O425" s="29">
        <v>1</v>
      </c>
      <c r="P425" s="29">
        <v>1</v>
      </c>
      <c r="Q425" s="29">
        <v>11</v>
      </c>
    </row>
    <row r="426" spans="1:17" x14ac:dyDescent="0.3">
      <c r="A426" s="15">
        <v>424</v>
      </c>
      <c r="B426" s="36">
        <v>1</v>
      </c>
      <c r="C426" s="5">
        <v>0</v>
      </c>
      <c r="D426" s="18">
        <v>0</v>
      </c>
      <c r="E426" s="9">
        <v>27</v>
      </c>
      <c r="F426" s="9">
        <v>5</v>
      </c>
      <c r="G426" s="9">
        <v>5.4</v>
      </c>
      <c r="H426" s="9">
        <f>CONVERT(426,"ft","m")*100</f>
        <v>12984.48</v>
      </c>
      <c r="I426" s="9">
        <f t="shared" si="14"/>
        <v>129.84479999999999</v>
      </c>
      <c r="J426" s="9">
        <f>I426*I426</f>
        <v>16859.672087039999</v>
      </c>
      <c r="K426" s="9">
        <v>44</v>
      </c>
      <c r="L426" s="7">
        <f t="shared" si="13"/>
        <v>2.6097779228946407E-3</v>
      </c>
      <c r="M426" s="19">
        <v>1</v>
      </c>
      <c r="N426" s="28">
        <v>0</v>
      </c>
      <c r="O426" s="29">
        <v>1</v>
      </c>
      <c r="P426" s="29">
        <v>1</v>
      </c>
      <c r="Q426" s="29">
        <v>10</v>
      </c>
    </row>
    <row r="427" spans="1:17" x14ac:dyDescent="0.3">
      <c r="A427" s="15">
        <v>425</v>
      </c>
      <c r="B427" s="36">
        <v>1</v>
      </c>
      <c r="C427" s="5">
        <v>0</v>
      </c>
      <c r="D427" s="18">
        <v>0</v>
      </c>
      <c r="E427" s="9">
        <v>34</v>
      </c>
      <c r="F427" s="9">
        <v>14</v>
      </c>
      <c r="G427" s="9">
        <v>5.6</v>
      </c>
      <c r="H427" s="9">
        <f>CONVERT(427,"ft","m")*100</f>
        <v>13014.96</v>
      </c>
      <c r="I427" s="9">
        <f t="shared" si="14"/>
        <v>130.14959999999999</v>
      </c>
      <c r="J427" s="9">
        <f>I427*I427</f>
        <v>16938.918380159997</v>
      </c>
      <c r="K427" s="9">
        <v>78</v>
      </c>
      <c r="L427" s="7">
        <f t="shared" si="13"/>
        <v>4.6047804381275526E-3</v>
      </c>
      <c r="M427" s="19">
        <v>1</v>
      </c>
      <c r="N427" s="28">
        <v>0</v>
      </c>
      <c r="O427" s="29">
        <v>1</v>
      </c>
      <c r="P427" s="29">
        <v>1</v>
      </c>
      <c r="Q427" s="29">
        <v>8.5</v>
      </c>
    </row>
    <row r="428" spans="1:17" x14ac:dyDescent="0.3">
      <c r="A428" s="15">
        <v>426</v>
      </c>
      <c r="B428" s="36">
        <v>1</v>
      </c>
      <c r="C428" s="5">
        <v>1</v>
      </c>
      <c r="D428" s="18">
        <v>0</v>
      </c>
      <c r="E428" s="9">
        <v>40</v>
      </c>
      <c r="F428" s="9">
        <v>8</v>
      </c>
      <c r="G428" s="9">
        <v>5.4</v>
      </c>
      <c r="H428" s="9">
        <f>CONVERT(428,"ft","m")*100</f>
        <v>13045.439999999999</v>
      </c>
      <c r="I428" s="9">
        <f t="shared" si="14"/>
        <v>130.45439999999999</v>
      </c>
      <c r="J428" s="9">
        <f>I428*I428</f>
        <v>17018.350479359997</v>
      </c>
      <c r="K428" s="9">
        <v>45</v>
      </c>
      <c r="L428" s="7">
        <f t="shared" si="13"/>
        <v>2.644204563454983E-3</v>
      </c>
      <c r="M428" s="19">
        <v>1</v>
      </c>
      <c r="N428" s="28">
        <v>0</v>
      </c>
      <c r="O428" s="29">
        <v>1</v>
      </c>
      <c r="P428" s="27">
        <v>1</v>
      </c>
      <c r="Q428" s="29">
        <v>8</v>
      </c>
    </row>
    <row r="429" spans="1:17" x14ac:dyDescent="0.3">
      <c r="A429" s="15">
        <v>427</v>
      </c>
      <c r="B429" s="36">
        <v>1</v>
      </c>
      <c r="C429" s="5">
        <v>1</v>
      </c>
      <c r="D429" s="18">
        <v>0</v>
      </c>
      <c r="E429" s="9">
        <v>36</v>
      </c>
      <c r="F429" s="9">
        <v>12</v>
      </c>
      <c r="G429" s="9">
        <v>5.6</v>
      </c>
      <c r="H429" s="9">
        <f>CONVERT(429,"ft","m")*100</f>
        <v>13075.92</v>
      </c>
      <c r="I429" s="9">
        <f t="shared" si="14"/>
        <v>130.75919999999999</v>
      </c>
      <c r="J429" s="9">
        <f>I429*I429</f>
        <v>17097.968384639997</v>
      </c>
      <c r="K429" s="9">
        <v>45</v>
      </c>
      <c r="L429" s="7">
        <f t="shared" si="13"/>
        <v>2.6318916369283889E-3</v>
      </c>
      <c r="M429" s="19">
        <v>1</v>
      </c>
      <c r="N429" s="28">
        <v>0</v>
      </c>
      <c r="O429" s="35">
        <v>1</v>
      </c>
      <c r="P429" s="27">
        <v>1</v>
      </c>
      <c r="Q429" s="29">
        <v>9</v>
      </c>
    </row>
    <row r="430" spans="1:17" x14ac:dyDescent="0.3">
      <c r="A430" s="15">
        <v>428</v>
      </c>
      <c r="B430" s="36">
        <v>1</v>
      </c>
      <c r="C430" s="5">
        <v>1</v>
      </c>
      <c r="D430" s="5">
        <v>0</v>
      </c>
      <c r="E430" s="9">
        <v>45</v>
      </c>
      <c r="F430" s="9">
        <v>22</v>
      </c>
      <c r="G430" s="9">
        <v>5.8</v>
      </c>
      <c r="H430" s="9">
        <f>CONVERT(430,"ft","m")*100</f>
        <v>13106.4</v>
      </c>
      <c r="I430" s="9">
        <f t="shared" si="14"/>
        <v>131.06399999999999</v>
      </c>
      <c r="J430" s="9">
        <f>I430*I430</f>
        <v>17177.772095999997</v>
      </c>
      <c r="K430" s="9">
        <v>55</v>
      </c>
      <c r="L430" s="7">
        <f t="shared" si="13"/>
        <v>3.2018121845269597E-3</v>
      </c>
      <c r="M430" s="19">
        <v>1</v>
      </c>
      <c r="N430" s="28">
        <v>0</v>
      </c>
      <c r="O430" s="28">
        <v>1</v>
      </c>
      <c r="P430" s="27">
        <v>1</v>
      </c>
      <c r="Q430" s="29">
        <v>8</v>
      </c>
    </row>
    <row r="431" spans="1:17" x14ac:dyDescent="0.3">
      <c r="A431" s="15">
        <v>429</v>
      </c>
      <c r="B431" s="36">
        <v>1</v>
      </c>
      <c r="C431" s="5">
        <v>1</v>
      </c>
      <c r="D431" s="5">
        <v>0</v>
      </c>
      <c r="E431" s="9">
        <v>34</v>
      </c>
      <c r="F431" s="9">
        <v>1</v>
      </c>
      <c r="G431" s="9">
        <v>5.4</v>
      </c>
      <c r="H431" s="9">
        <f>CONVERT(431,"ft","m")*100</f>
        <v>13136.88</v>
      </c>
      <c r="I431" s="9">
        <f t="shared" si="14"/>
        <v>131.36879999999999</v>
      </c>
      <c r="J431" s="9">
        <f>I431*I431</f>
        <v>17257.761613439998</v>
      </c>
      <c r="K431" s="9">
        <v>53</v>
      </c>
      <c r="L431" s="7">
        <f t="shared" si="13"/>
        <v>3.0710819390809448E-3</v>
      </c>
      <c r="M431" s="19">
        <v>1</v>
      </c>
      <c r="N431" s="28">
        <v>0</v>
      </c>
      <c r="O431" s="28">
        <v>1</v>
      </c>
      <c r="P431" s="27">
        <v>1</v>
      </c>
      <c r="Q431" s="29">
        <v>8</v>
      </c>
    </row>
    <row r="432" spans="1:17" x14ac:dyDescent="0.3">
      <c r="A432" s="15">
        <v>430</v>
      </c>
      <c r="B432" s="36">
        <v>1</v>
      </c>
      <c r="C432" s="5">
        <v>1</v>
      </c>
      <c r="D432" s="5">
        <v>1</v>
      </c>
      <c r="E432" s="9">
        <v>60</v>
      </c>
      <c r="F432" s="9">
        <v>11</v>
      </c>
      <c r="G432" s="9">
        <v>5.4</v>
      </c>
      <c r="H432" s="9">
        <f>CONVERT(432,"ft","m")*100</f>
        <v>13167.359999999999</v>
      </c>
      <c r="I432" s="9">
        <f t="shared" si="14"/>
        <v>131.67359999999999</v>
      </c>
      <c r="J432" s="9">
        <f>I432*I432</f>
        <v>17337.936936959999</v>
      </c>
      <c r="K432" s="9">
        <v>45</v>
      </c>
      <c r="L432" s="7">
        <f t="shared" si="13"/>
        <v>2.5954645102019974E-3</v>
      </c>
      <c r="M432" s="19">
        <v>1</v>
      </c>
      <c r="N432" s="28">
        <v>0</v>
      </c>
      <c r="O432" s="28">
        <v>1</v>
      </c>
      <c r="P432" s="27">
        <v>1</v>
      </c>
      <c r="Q432" s="29">
        <v>8</v>
      </c>
    </row>
    <row r="433" spans="1:17" x14ac:dyDescent="0.3">
      <c r="A433" s="15">
        <v>431</v>
      </c>
      <c r="B433" s="36">
        <v>1</v>
      </c>
      <c r="C433" s="5">
        <v>1</v>
      </c>
      <c r="D433" s="5">
        <v>0</v>
      </c>
      <c r="E433" s="9">
        <v>72</v>
      </c>
      <c r="F433" s="9">
        <v>1</v>
      </c>
      <c r="G433" s="9">
        <v>5.9</v>
      </c>
      <c r="H433" s="9">
        <f>CONVERT(433,"ft","m")*100</f>
        <v>13197.84</v>
      </c>
      <c r="I433" s="9">
        <f t="shared" si="14"/>
        <v>131.97839999999999</v>
      </c>
      <c r="J433" s="9">
        <f>I433*I433</f>
        <v>17418.298066559997</v>
      </c>
      <c r="K433" s="9">
        <v>67</v>
      </c>
      <c r="L433" s="7">
        <f t="shared" si="13"/>
        <v>3.8465296519771906E-3</v>
      </c>
      <c r="M433" s="19">
        <v>1</v>
      </c>
      <c r="N433" s="28">
        <v>0</v>
      </c>
      <c r="O433" s="28">
        <v>1</v>
      </c>
      <c r="P433" s="27">
        <v>1</v>
      </c>
      <c r="Q433" s="29">
        <v>10.5</v>
      </c>
    </row>
    <row r="434" spans="1:17" x14ac:dyDescent="0.3">
      <c r="A434" s="15">
        <v>432</v>
      </c>
      <c r="B434" s="36">
        <v>1</v>
      </c>
      <c r="C434" s="5">
        <v>0</v>
      </c>
      <c r="D434" s="5">
        <v>0</v>
      </c>
      <c r="E434" s="9">
        <v>35</v>
      </c>
      <c r="F434" s="9">
        <v>1</v>
      </c>
      <c r="G434" s="9">
        <v>5.8</v>
      </c>
      <c r="H434" s="9">
        <f>CONVERT(434,"ft","m")*100</f>
        <v>13228.32</v>
      </c>
      <c r="I434" s="9">
        <f t="shared" si="14"/>
        <v>132.28319999999999</v>
      </c>
      <c r="J434" s="9">
        <f>I434*I434</f>
        <v>17498.845002239999</v>
      </c>
      <c r="K434" s="9">
        <v>60</v>
      </c>
      <c r="L434" s="7">
        <f t="shared" si="13"/>
        <v>3.4287977287826422E-3</v>
      </c>
      <c r="M434" s="19">
        <v>1</v>
      </c>
      <c r="N434" s="28">
        <v>0</v>
      </c>
      <c r="O434" s="28">
        <v>1</v>
      </c>
      <c r="P434" s="27">
        <v>1</v>
      </c>
      <c r="Q434" s="29">
        <v>11</v>
      </c>
    </row>
    <row r="435" spans="1:17" x14ac:dyDescent="0.3">
      <c r="A435" s="15">
        <v>433</v>
      </c>
      <c r="B435" s="36">
        <v>1</v>
      </c>
      <c r="C435" s="5">
        <v>1</v>
      </c>
      <c r="D435" s="5">
        <v>0</v>
      </c>
      <c r="E435" s="9">
        <v>65</v>
      </c>
      <c r="F435" s="9">
        <v>1</v>
      </c>
      <c r="G435" s="9">
        <v>5.4</v>
      </c>
      <c r="H435" s="9">
        <f>CONVERT(435,"ft","m")*100</f>
        <v>13258.8</v>
      </c>
      <c r="I435" s="9">
        <f t="shared" si="14"/>
        <v>132.58799999999999</v>
      </c>
      <c r="J435" s="9">
        <f>I435*I435</f>
        <v>17579.577743999998</v>
      </c>
      <c r="K435" s="9">
        <v>45</v>
      </c>
      <c r="L435" s="7">
        <f t="shared" si="13"/>
        <v>2.5597884463043337E-3</v>
      </c>
      <c r="M435" s="19">
        <v>1</v>
      </c>
      <c r="N435" s="28">
        <v>0</v>
      </c>
      <c r="O435" s="28">
        <v>1</v>
      </c>
      <c r="P435" s="27">
        <v>0</v>
      </c>
      <c r="Q435" s="29">
        <v>10</v>
      </c>
    </row>
    <row r="436" spans="1:17" x14ac:dyDescent="0.3">
      <c r="A436" s="15">
        <v>434</v>
      </c>
      <c r="B436" s="36">
        <v>1</v>
      </c>
      <c r="C436" s="5">
        <v>1</v>
      </c>
      <c r="D436" s="5">
        <v>0</v>
      </c>
      <c r="E436" s="9">
        <v>42</v>
      </c>
      <c r="F436" s="9">
        <v>12</v>
      </c>
      <c r="G436" s="9">
        <v>6.1</v>
      </c>
      <c r="H436" s="9">
        <f>CONVERT(436,"ft","m")*100</f>
        <v>13289.279999999999</v>
      </c>
      <c r="I436" s="9">
        <f t="shared" si="14"/>
        <v>132.89279999999999</v>
      </c>
      <c r="J436" s="9">
        <f>I436*I436</f>
        <v>17660.496291839998</v>
      </c>
      <c r="K436" s="9">
        <v>57</v>
      </c>
      <c r="L436" s="7">
        <f t="shared" si="13"/>
        <v>3.2275423667644464E-3</v>
      </c>
      <c r="M436" s="19">
        <v>1</v>
      </c>
      <c r="N436" s="28">
        <v>3</v>
      </c>
      <c r="O436" s="28">
        <v>1</v>
      </c>
      <c r="P436" s="27">
        <v>0</v>
      </c>
      <c r="Q436" s="29">
        <v>10</v>
      </c>
    </row>
    <row r="437" spans="1:17" x14ac:dyDescent="0.3">
      <c r="A437" s="15">
        <v>435</v>
      </c>
      <c r="B437" s="36">
        <v>1</v>
      </c>
      <c r="C437" s="5">
        <v>1</v>
      </c>
      <c r="D437" s="5">
        <v>1</v>
      </c>
      <c r="E437" s="9">
        <v>28</v>
      </c>
      <c r="F437" s="9">
        <v>1</v>
      </c>
      <c r="G437" s="9">
        <v>5.2</v>
      </c>
      <c r="H437" s="9">
        <f>CONVERT(437,"ft","m")*100</f>
        <v>13319.76</v>
      </c>
      <c r="I437" s="9">
        <f t="shared" si="14"/>
        <v>133.19759999999999</v>
      </c>
      <c r="J437" s="9">
        <f>I437*I437</f>
        <v>17741.600645759998</v>
      </c>
      <c r="K437" s="9">
        <v>58</v>
      </c>
      <c r="L437" s="7">
        <f t="shared" si="13"/>
        <v>3.2691526068061518E-3</v>
      </c>
      <c r="M437" s="28">
        <v>0</v>
      </c>
      <c r="N437" s="28">
        <v>0</v>
      </c>
      <c r="O437" s="28">
        <v>1</v>
      </c>
      <c r="P437" s="27">
        <v>0</v>
      </c>
      <c r="Q437" s="29">
        <v>9</v>
      </c>
    </row>
    <row r="438" spans="1:17" x14ac:dyDescent="0.3">
      <c r="A438" s="15">
        <v>436</v>
      </c>
      <c r="B438" s="36">
        <v>1</v>
      </c>
      <c r="C438" s="5">
        <v>1</v>
      </c>
      <c r="D438" s="5">
        <v>0</v>
      </c>
      <c r="E438" s="9">
        <v>40</v>
      </c>
      <c r="F438" s="9">
        <v>2</v>
      </c>
      <c r="G438" s="9">
        <v>6.1</v>
      </c>
      <c r="H438" s="9">
        <f>CONVERT(438,"ft","m")*100</f>
        <v>13350.24</v>
      </c>
      <c r="I438" s="9">
        <f t="shared" si="14"/>
        <v>133.50239999999999</v>
      </c>
      <c r="J438" s="9">
        <f>I438*I438</f>
        <v>17822.890805759998</v>
      </c>
      <c r="K438" s="9">
        <v>65</v>
      </c>
      <c r="L438" s="7">
        <f t="shared" si="13"/>
        <v>3.646995356050395E-3</v>
      </c>
      <c r="M438" s="28">
        <v>0</v>
      </c>
      <c r="N438" s="28">
        <v>0</v>
      </c>
      <c r="O438" s="28">
        <v>1</v>
      </c>
      <c r="P438" s="27">
        <v>0</v>
      </c>
      <c r="Q438" s="29">
        <v>9</v>
      </c>
    </row>
    <row r="439" spans="1:17" x14ac:dyDescent="0.3">
      <c r="A439" s="15">
        <v>437</v>
      </c>
      <c r="B439" s="36">
        <v>1</v>
      </c>
      <c r="C439" s="5">
        <v>1</v>
      </c>
      <c r="D439" s="5">
        <v>0</v>
      </c>
      <c r="E439" s="9">
        <v>55</v>
      </c>
      <c r="F439" s="9">
        <v>5</v>
      </c>
      <c r="G439" s="9">
        <v>5.3</v>
      </c>
      <c r="H439" s="9">
        <f>CONVERT(439,"ft","m")*100</f>
        <v>13380.72</v>
      </c>
      <c r="I439" s="9">
        <f t="shared" si="14"/>
        <v>133.80719999999999</v>
      </c>
      <c r="J439" s="9">
        <f>I439*I439</f>
        <v>17904.366771839999</v>
      </c>
      <c r="K439" s="9">
        <v>52</v>
      </c>
      <c r="L439" s="7">
        <f t="shared" si="13"/>
        <v>2.9043194133950402E-3</v>
      </c>
      <c r="M439" s="28">
        <v>0</v>
      </c>
      <c r="N439" s="28">
        <v>0</v>
      </c>
      <c r="O439" s="28">
        <v>1</v>
      </c>
      <c r="P439" s="27">
        <v>0</v>
      </c>
      <c r="Q439" s="29">
        <v>9</v>
      </c>
    </row>
    <row r="440" spans="1:17" x14ac:dyDescent="0.3">
      <c r="A440" s="15">
        <v>438</v>
      </c>
      <c r="B440" s="36">
        <v>1</v>
      </c>
      <c r="C440" s="5">
        <v>1</v>
      </c>
      <c r="D440" s="5">
        <v>0</v>
      </c>
      <c r="E440" s="9">
        <v>45</v>
      </c>
      <c r="F440" s="9">
        <v>1</v>
      </c>
      <c r="G440" s="9">
        <v>5.5</v>
      </c>
      <c r="H440" s="9">
        <f>CONVERT(440,"ft","m")*100</f>
        <v>13411.199999999999</v>
      </c>
      <c r="I440" s="9">
        <f t="shared" si="14"/>
        <v>134.11199999999999</v>
      </c>
      <c r="J440" s="9">
        <f>I440*I440</f>
        <v>17986.028543999997</v>
      </c>
      <c r="K440" s="9">
        <v>56</v>
      </c>
      <c r="L440" s="7">
        <f t="shared" si="13"/>
        <v>3.1135278064862836E-3</v>
      </c>
      <c r="M440" s="28">
        <v>0</v>
      </c>
      <c r="N440" s="28">
        <v>0</v>
      </c>
      <c r="O440" s="28">
        <v>1</v>
      </c>
      <c r="P440" s="27">
        <v>0</v>
      </c>
      <c r="Q440" s="29">
        <v>9</v>
      </c>
    </row>
    <row r="441" spans="1:17" x14ac:dyDescent="0.3">
      <c r="A441" s="15">
        <v>439</v>
      </c>
      <c r="B441" s="36">
        <v>1</v>
      </c>
      <c r="C441" s="5">
        <v>1</v>
      </c>
      <c r="D441" s="5">
        <v>0</v>
      </c>
      <c r="E441" s="9">
        <v>26</v>
      </c>
      <c r="F441" s="9">
        <v>12</v>
      </c>
      <c r="G441" s="9">
        <v>4.8</v>
      </c>
      <c r="H441" s="9">
        <f>CONVERT(441,"ft","m")*100</f>
        <v>13441.68</v>
      </c>
      <c r="I441" s="9">
        <f t="shared" si="14"/>
        <v>134.41679999999999</v>
      </c>
      <c r="J441" s="9">
        <f>I441*I441</f>
        <v>18067.876122239999</v>
      </c>
      <c r="K441" s="9">
        <v>50</v>
      </c>
      <c r="L441" s="7">
        <f t="shared" si="13"/>
        <v>2.7673424182078771E-3</v>
      </c>
      <c r="M441" s="28">
        <v>0</v>
      </c>
      <c r="N441" s="28">
        <v>0</v>
      </c>
      <c r="O441" s="28">
        <v>1</v>
      </c>
      <c r="P441" s="27">
        <v>1</v>
      </c>
      <c r="Q441" s="29">
        <v>9</v>
      </c>
    </row>
    <row r="442" spans="1:17" x14ac:dyDescent="0.3">
      <c r="A442" s="15">
        <v>440</v>
      </c>
      <c r="B442" s="36">
        <v>1</v>
      </c>
      <c r="C442" s="5">
        <v>1</v>
      </c>
      <c r="D442" s="5">
        <v>1</v>
      </c>
      <c r="E442" s="9">
        <v>29</v>
      </c>
      <c r="F442" s="9">
        <v>1</v>
      </c>
      <c r="G442" s="9">
        <v>5.2</v>
      </c>
      <c r="H442" s="9">
        <f>CONVERT(442,"ft","m")*100</f>
        <v>13472.16</v>
      </c>
      <c r="I442" s="9">
        <f t="shared" si="14"/>
        <v>134.7216</v>
      </c>
      <c r="J442" s="9">
        <f>I442*I442</f>
        <v>18149.909506559998</v>
      </c>
      <c r="K442" s="9">
        <v>60</v>
      </c>
      <c r="L442" s="7">
        <f t="shared" si="13"/>
        <v>3.3058016062456922E-3</v>
      </c>
      <c r="M442" s="28">
        <v>0</v>
      </c>
      <c r="N442" s="28">
        <v>0</v>
      </c>
      <c r="O442" s="28">
        <v>1</v>
      </c>
      <c r="P442" s="27">
        <v>0</v>
      </c>
      <c r="Q442" s="29">
        <v>9</v>
      </c>
    </row>
    <row r="443" spans="1:17" x14ac:dyDescent="0.3">
      <c r="A443" s="15">
        <v>441</v>
      </c>
      <c r="B443" s="36">
        <v>1</v>
      </c>
      <c r="C443" s="5">
        <v>1</v>
      </c>
      <c r="D443" s="5">
        <v>0</v>
      </c>
      <c r="E443" s="9">
        <v>47</v>
      </c>
      <c r="F443" s="9">
        <v>12</v>
      </c>
      <c r="G443" s="9">
        <v>5.4</v>
      </c>
      <c r="H443" s="9">
        <f>CONVERT(443,"ft","m")*100</f>
        <v>13502.64</v>
      </c>
      <c r="I443" s="9">
        <f t="shared" si="14"/>
        <v>135.0264</v>
      </c>
      <c r="J443" s="9">
        <f>I443*I443</f>
        <v>18232.128696960001</v>
      </c>
      <c r="K443" s="9">
        <v>65</v>
      </c>
      <c r="L443" s="7">
        <f t="shared" si="13"/>
        <v>3.5651349922095499E-3</v>
      </c>
      <c r="M443" s="28">
        <v>0</v>
      </c>
      <c r="N443" s="28">
        <v>0</v>
      </c>
      <c r="O443" s="28">
        <v>1</v>
      </c>
      <c r="P443" s="27">
        <v>0</v>
      </c>
      <c r="Q443" s="29">
        <v>9</v>
      </c>
    </row>
    <row r="444" spans="1:17" x14ac:dyDescent="0.3">
      <c r="A444" s="15">
        <v>442</v>
      </c>
      <c r="B444" s="36">
        <v>1</v>
      </c>
      <c r="C444" s="5">
        <v>1</v>
      </c>
      <c r="D444" s="5">
        <v>0</v>
      </c>
      <c r="E444" s="9">
        <v>40</v>
      </c>
      <c r="F444" s="9">
        <v>8</v>
      </c>
      <c r="G444" s="9">
        <v>5.3</v>
      </c>
      <c r="H444" s="9">
        <f>CONVERT(444,"ft","m")*100</f>
        <v>13533.119999999999</v>
      </c>
      <c r="I444" s="9">
        <f t="shared" si="14"/>
        <v>135.3312</v>
      </c>
      <c r="J444" s="9">
        <f>I444*I444</f>
        <v>18314.53369344</v>
      </c>
      <c r="K444" s="9">
        <v>47</v>
      </c>
      <c r="L444" s="7">
        <f t="shared" si="13"/>
        <v>2.5662679043165983E-3</v>
      </c>
      <c r="M444" s="28">
        <v>0</v>
      </c>
      <c r="N444" s="28">
        <v>0</v>
      </c>
      <c r="O444" s="28">
        <v>1</v>
      </c>
      <c r="P444" s="27">
        <v>1</v>
      </c>
      <c r="Q444" s="29">
        <v>9</v>
      </c>
    </row>
    <row r="445" spans="1:17" x14ac:dyDescent="0.3">
      <c r="A445" s="15">
        <v>443</v>
      </c>
      <c r="B445" s="36">
        <v>1</v>
      </c>
      <c r="C445" s="5">
        <v>0</v>
      </c>
      <c r="D445" s="5">
        <v>0</v>
      </c>
      <c r="E445" s="9">
        <v>40</v>
      </c>
      <c r="F445" s="9">
        <v>4</v>
      </c>
      <c r="G445" s="9">
        <v>4.9000000000000004</v>
      </c>
      <c r="H445" s="9">
        <f>CONVERT(445,"ft","m")*100</f>
        <v>13563.6</v>
      </c>
      <c r="I445" s="9">
        <f t="shared" si="14"/>
        <v>135.636</v>
      </c>
      <c r="J445" s="9">
        <f>I445*I445</f>
        <v>18397.124496</v>
      </c>
      <c r="K445" s="9">
        <v>50</v>
      </c>
      <c r="L445" s="7">
        <f t="shared" si="13"/>
        <v>2.7178160375482194E-3</v>
      </c>
      <c r="M445" s="28">
        <v>4</v>
      </c>
      <c r="N445" s="33">
        <v>1</v>
      </c>
      <c r="O445" s="28">
        <v>1</v>
      </c>
      <c r="P445" s="27">
        <v>0</v>
      </c>
      <c r="Q445" s="29">
        <v>9</v>
      </c>
    </row>
    <row r="446" spans="1:17" x14ac:dyDescent="0.3">
      <c r="A446" s="15">
        <v>444</v>
      </c>
      <c r="B446" s="36">
        <v>1</v>
      </c>
      <c r="C446" s="5">
        <v>1</v>
      </c>
      <c r="D446" s="5">
        <v>0</v>
      </c>
      <c r="E446" s="9">
        <v>54</v>
      </c>
      <c r="F446" s="9">
        <v>1</v>
      </c>
      <c r="G446" s="9">
        <v>5.4</v>
      </c>
      <c r="H446" s="9">
        <f>CONVERT(446,"ft","m")*100</f>
        <v>13594.08</v>
      </c>
      <c r="I446" s="9">
        <f t="shared" si="14"/>
        <v>135.9408</v>
      </c>
      <c r="J446" s="9">
        <f>I446*I446</f>
        <v>18479.901104639997</v>
      </c>
      <c r="K446" s="9">
        <v>54</v>
      </c>
      <c r="L446" s="7">
        <f t="shared" si="13"/>
        <v>2.9220935596046826E-3</v>
      </c>
      <c r="M446" s="28">
        <v>0</v>
      </c>
      <c r="N446" s="28">
        <v>0</v>
      </c>
      <c r="O446" s="28">
        <v>1</v>
      </c>
      <c r="P446" s="27">
        <v>0</v>
      </c>
      <c r="Q446" s="29">
        <v>9</v>
      </c>
    </row>
    <row r="447" spans="1:17" x14ac:dyDescent="0.3">
      <c r="A447" s="15">
        <v>445</v>
      </c>
      <c r="B447" s="36">
        <v>1</v>
      </c>
      <c r="C447" s="5">
        <v>1</v>
      </c>
      <c r="D447" s="5">
        <v>0</v>
      </c>
      <c r="E447" s="9">
        <v>55</v>
      </c>
      <c r="F447" s="9">
        <v>9</v>
      </c>
      <c r="G447" s="9">
        <v>5.8</v>
      </c>
      <c r="H447" s="9">
        <f>CONVERT(447,"ft","m")*100</f>
        <v>13624.56</v>
      </c>
      <c r="I447" s="9">
        <f t="shared" si="14"/>
        <v>136.2456</v>
      </c>
      <c r="J447" s="9">
        <f>I447*I447</f>
        <v>18562.863519359998</v>
      </c>
      <c r="K447" s="9">
        <v>42</v>
      </c>
      <c r="L447" s="7">
        <f t="shared" si="13"/>
        <v>2.2625819532744191E-3</v>
      </c>
      <c r="M447" s="28">
        <v>0</v>
      </c>
      <c r="N447" s="28">
        <v>0</v>
      </c>
      <c r="O447" s="28">
        <v>1</v>
      </c>
      <c r="P447" s="27">
        <v>0</v>
      </c>
      <c r="Q447" s="29">
        <v>9</v>
      </c>
    </row>
    <row r="448" spans="1:17" x14ac:dyDescent="0.3">
      <c r="A448" s="15">
        <v>446</v>
      </c>
      <c r="B448" s="36">
        <v>1</v>
      </c>
      <c r="C448" s="5">
        <v>0</v>
      </c>
      <c r="D448" s="5">
        <v>0</v>
      </c>
      <c r="E448" s="9">
        <v>47</v>
      </c>
      <c r="F448" s="9">
        <v>1</v>
      </c>
      <c r="G448" s="9">
        <v>5.6</v>
      </c>
      <c r="H448" s="9">
        <f>CONVERT(448,"ft","m")*100</f>
        <v>13655.039999999999</v>
      </c>
      <c r="I448" s="9">
        <f t="shared" si="14"/>
        <v>136.5504</v>
      </c>
      <c r="J448" s="9">
        <f>I448*I448</f>
        <v>18646.01174016</v>
      </c>
      <c r="K448" s="9">
        <v>65</v>
      </c>
      <c r="L448" s="7">
        <f t="shared" si="13"/>
        <v>3.4860001648503863E-3</v>
      </c>
      <c r="M448" s="28">
        <v>0</v>
      </c>
      <c r="N448" s="28">
        <v>0</v>
      </c>
      <c r="O448" s="28">
        <v>1</v>
      </c>
      <c r="P448" s="27">
        <v>0</v>
      </c>
      <c r="Q448" s="29">
        <v>9</v>
      </c>
    </row>
    <row r="449" spans="1:17" x14ac:dyDescent="0.3">
      <c r="A449" s="15">
        <v>447</v>
      </c>
      <c r="B449" s="36">
        <v>1</v>
      </c>
      <c r="C449" s="5">
        <v>1</v>
      </c>
      <c r="D449" s="5">
        <v>0</v>
      </c>
      <c r="E449" s="9">
        <v>43</v>
      </c>
      <c r="F449" s="9">
        <v>15</v>
      </c>
      <c r="G449" s="9">
        <v>6.4</v>
      </c>
      <c r="H449" s="9">
        <f>CONVERT(449,"ft","m")*100</f>
        <v>13685.52</v>
      </c>
      <c r="I449" s="9">
        <f t="shared" si="14"/>
        <v>136.8552</v>
      </c>
      <c r="J449" s="9">
        <f>I449*I449</f>
        <v>18729.345767039998</v>
      </c>
      <c r="K449" s="9">
        <v>60</v>
      </c>
      <c r="L449" s="7">
        <f t="shared" si="13"/>
        <v>3.2035288763576737E-3</v>
      </c>
      <c r="M449" s="28">
        <v>0</v>
      </c>
      <c r="N449" s="28">
        <v>0</v>
      </c>
      <c r="O449" s="28">
        <v>1</v>
      </c>
      <c r="P449" s="27">
        <v>0</v>
      </c>
      <c r="Q449" s="29">
        <v>9</v>
      </c>
    </row>
    <row r="450" spans="1:17" x14ac:dyDescent="0.3">
      <c r="A450" s="15">
        <v>448</v>
      </c>
      <c r="B450" s="36">
        <v>1</v>
      </c>
      <c r="C450" s="5">
        <v>0</v>
      </c>
      <c r="D450" s="5">
        <v>0</v>
      </c>
      <c r="E450" s="9">
        <v>76</v>
      </c>
      <c r="F450" s="9">
        <v>1</v>
      </c>
      <c r="G450" s="9">
        <v>5.6</v>
      </c>
      <c r="H450" s="9">
        <f>CONVERT(450,"ft","m")*100</f>
        <v>13716</v>
      </c>
      <c r="I450" s="9">
        <f t="shared" si="14"/>
        <v>137.16</v>
      </c>
      <c r="J450" s="9">
        <f>I450*I450</f>
        <v>18812.865599999997</v>
      </c>
      <c r="K450" s="9">
        <v>80</v>
      </c>
      <c r="L450" s="7">
        <f t="shared" ref="L450:L513" si="15">K450/J450</f>
        <v>4.2524090535149524E-3</v>
      </c>
      <c r="M450" s="28">
        <v>0</v>
      </c>
      <c r="N450" s="28">
        <v>0</v>
      </c>
      <c r="O450" s="28">
        <v>1</v>
      </c>
      <c r="P450" s="27">
        <v>0</v>
      </c>
      <c r="Q450" s="29">
        <v>9</v>
      </c>
    </row>
    <row r="451" spans="1:17" x14ac:dyDescent="0.3">
      <c r="A451" s="15">
        <v>449</v>
      </c>
      <c r="B451" s="36">
        <v>1</v>
      </c>
      <c r="C451" s="5">
        <v>1</v>
      </c>
      <c r="D451" s="5">
        <v>1</v>
      </c>
      <c r="E451" s="9">
        <v>56</v>
      </c>
      <c r="F451" s="9">
        <v>1</v>
      </c>
      <c r="G451" s="9">
        <v>5.7</v>
      </c>
      <c r="H451" s="9">
        <f>CONVERT(451,"ft","m")*100</f>
        <v>13746.48</v>
      </c>
      <c r="I451" s="9">
        <f t="shared" si="14"/>
        <v>137.4648</v>
      </c>
      <c r="J451" s="9">
        <f>I451*I451</f>
        <v>18896.57123904</v>
      </c>
      <c r="K451" s="9">
        <v>56</v>
      </c>
      <c r="L451" s="7">
        <f t="shared" si="15"/>
        <v>2.9635005891600554E-3</v>
      </c>
      <c r="M451" s="28">
        <v>0</v>
      </c>
      <c r="N451" s="28">
        <v>0</v>
      </c>
      <c r="O451" s="28">
        <v>0</v>
      </c>
      <c r="P451" s="27"/>
      <c r="Q451" s="29">
        <v>9</v>
      </c>
    </row>
    <row r="452" spans="1:17" x14ac:dyDescent="0.3">
      <c r="A452" s="15">
        <v>450</v>
      </c>
      <c r="B452" s="36">
        <v>1</v>
      </c>
      <c r="C452" s="5">
        <v>1</v>
      </c>
      <c r="D452" s="5">
        <v>0</v>
      </c>
      <c r="E452" s="9">
        <v>65</v>
      </c>
      <c r="F452" s="9">
        <v>1</v>
      </c>
      <c r="G452" s="9">
        <v>5.4</v>
      </c>
      <c r="H452" s="9">
        <f>CONVERT(452,"ft","m")*100</f>
        <v>13776.96</v>
      </c>
      <c r="I452" s="9">
        <f t="shared" si="14"/>
        <v>137.7696</v>
      </c>
      <c r="J452" s="9">
        <f>I452*I452</f>
        <v>18980.46268416</v>
      </c>
      <c r="K452" s="9">
        <v>65</v>
      </c>
      <c r="L452" s="7">
        <f t="shared" si="15"/>
        <v>3.4245740518351669E-3</v>
      </c>
      <c r="M452" s="28">
        <v>0</v>
      </c>
      <c r="N452" s="28">
        <v>0</v>
      </c>
      <c r="O452" s="28">
        <v>0</v>
      </c>
      <c r="P452" s="27">
        <v>0</v>
      </c>
      <c r="Q452" s="29">
        <v>9</v>
      </c>
    </row>
    <row r="453" spans="1:17" x14ac:dyDescent="0.3">
      <c r="A453" s="15">
        <v>451</v>
      </c>
      <c r="B453" s="36">
        <v>1</v>
      </c>
      <c r="C453" s="5">
        <v>0</v>
      </c>
      <c r="D453" s="5">
        <v>0</v>
      </c>
      <c r="E453" s="9">
        <v>50</v>
      </c>
      <c r="F453" s="9">
        <v>1</v>
      </c>
      <c r="G453" s="9">
        <v>5.0999999999999996</v>
      </c>
      <c r="H453" s="9">
        <f>CONVERT(453,"ft","m")*100</f>
        <v>13807.44</v>
      </c>
      <c r="I453" s="9">
        <f t="shared" si="14"/>
        <v>138.0744</v>
      </c>
      <c r="J453" s="9">
        <f>I453*I453</f>
        <v>19064.539935360001</v>
      </c>
      <c r="K453" s="9">
        <v>50</v>
      </c>
      <c r="L453" s="7">
        <f t="shared" si="15"/>
        <v>2.6226701598637786E-3</v>
      </c>
      <c r="M453" s="28">
        <v>5</v>
      </c>
      <c r="N453" s="28">
        <v>0</v>
      </c>
      <c r="O453" s="28">
        <v>0</v>
      </c>
      <c r="P453" s="27">
        <v>0</v>
      </c>
      <c r="Q453" s="29">
        <v>9</v>
      </c>
    </row>
    <row r="454" spans="1:17" x14ac:dyDescent="0.3">
      <c r="A454" s="15">
        <v>452</v>
      </c>
      <c r="B454" s="36">
        <v>1</v>
      </c>
      <c r="C454" s="5">
        <v>1</v>
      </c>
      <c r="D454" s="5">
        <v>1</v>
      </c>
      <c r="E454" s="9">
        <v>46</v>
      </c>
      <c r="F454" s="9">
        <v>1</v>
      </c>
      <c r="G454" s="9">
        <v>6.2</v>
      </c>
      <c r="H454" s="9">
        <f>CONVERT(454,"ft","m")*100</f>
        <v>13837.92</v>
      </c>
      <c r="I454" s="9">
        <f t="shared" si="14"/>
        <v>138.3792</v>
      </c>
      <c r="J454" s="9">
        <f>I454*I454</f>
        <v>19148.802992639998</v>
      </c>
      <c r="K454" s="9">
        <v>50</v>
      </c>
      <c r="L454" s="7">
        <f t="shared" si="15"/>
        <v>2.6111292710681664E-3</v>
      </c>
      <c r="M454" s="28">
        <v>0</v>
      </c>
      <c r="N454" s="28">
        <v>0</v>
      </c>
      <c r="O454" s="28">
        <v>0</v>
      </c>
      <c r="P454" s="35">
        <v>1</v>
      </c>
      <c r="Q454" s="29">
        <v>9.1999999999999993</v>
      </c>
    </row>
    <row r="455" spans="1:17" x14ac:dyDescent="0.3">
      <c r="A455" s="15">
        <v>453</v>
      </c>
      <c r="B455" s="36">
        <v>1</v>
      </c>
      <c r="C455" s="5">
        <v>1</v>
      </c>
      <c r="D455" s="5">
        <v>0</v>
      </c>
      <c r="E455" s="9">
        <v>75</v>
      </c>
      <c r="F455" s="9">
        <v>1</v>
      </c>
      <c r="G455" s="9">
        <v>5.8</v>
      </c>
      <c r="H455" s="9">
        <f>CONVERT(455,"ft","m")*100</f>
        <v>13868.4</v>
      </c>
      <c r="I455" s="9">
        <f t="shared" si="14"/>
        <v>138.684</v>
      </c>
      <c r="J455" s="9">
        <f>I455*I455</f>
        <v>19233.251855999999</v>
      </c>
      <c r="K455" s="9">
        <v>88</v>
      </c>
      <c r="L455" s="7">
        <f t="shared" si="15"/>
        <v>4.5754093306144454E-3</v>
      </c>
      <c r="M455" s="28">
        <v>0</v>
      </c>
      <c r="N455" s="28">
        <v>0</v>
      </c>
      <c r="O455" s="28">
        <v>0</v>
      </c>
      <c r="P455" s="27">
        <v>0</v>
      </c>
      <c r="Q455" s="29">
        <v>10</v>
      </c>
    </row>
    <row r="456" spans="1:17" x14ac:dyDescent="0.3">
      <c r="A456" s="15">
        <v>454</v>
      </c>
      <c r="B456" s="36">
        <v>1</v>
      </c>
      <c r="C456" s="5">
        <v>1</v>
      </c>
      <c r="D456" s="5">
        <v>0</v>
      </c>
      <c r="E456" s="9">
        <v>32</v>
      </c>
      <c r="F456" s="9">
        <v>1</v>
      </c>
      <c r="G456" s="9">
        <v>5.9</v>
      </c>
      <c r="H456" s="9">
        <f>CONVERT(456,"ft","m")*100</f>
        <v>13898.88</v>
      </c>
      <c r="I456" s="9">
        <f t="shared" si="14"/>
        <v>138.9888</v>
      </c>
      <c r="J456" s="9">
        <f>I456*I456</f>
        <v>19317.886525440001</v>
      </c>
      <c r="K456" s="9">
        <v>64</v>
      </c>
      <c r="L456" s="7">
        <f t="shared" si="15"/>
        <v>3.3129918180085324E-3</v>
      </c>
      <c r="M456" s="28">
        <v>0</v>
      </c>
      <c r="N456" s="28">
        <v>0</v>
      </c>
      <c r="O456" s="28">
        <v>0</v>
      </c>
      <c r="P456" s="27">
        <v>0</v>
      </c>
      <c r="Q456" s="29">
        <v>8</v>
      </c>
    </row>
    <row r="457" spans="1:17" x14ac:dyDescent="0.3">
      <c r="A457" s="15">
        <v>455</v>
      </c>
      <c r="B457" s="36">
        <v>1</v>
      </c>
      <c r="C457" s="5">
        <v>1</v>
      </c>
      <c r="D457" s="5">
        <v>0</v>
      </c>
      <c r="E457" s="9">
        <v>48</v>
      </c>
      <c r="F457" s="9">
        <v>11</v>
      </c>
      <c r="G457" s="9">
        <v>5.7</v>
      </c>
      <c r="H457" s="9">
        <f>CONVERT(457,"ft","m")*100</f>
        <v>13929.36</v>
      </c>
      <c r="I457" s="9">
        <f t="shared" si="14"/>
        <v>139.2936</v>
      </c>
      <c r="J457" s="9">
        <f>I457*I457</f>
        <v>19402.707000959999</v>
      </c>
      <c r="K457" s="9">
        <v>56</v>
      </c>
      <c r="L457" s="7">
        <f t="shared" si="15"/>
        <v>2.8861952096287005E-3</v>
      </c>
      <c r="M457" s="28">
        <v>0</v>
      </c>
      <c r="N457" s="28">
        <v>0</v>
      </c>
      <c r="O457" s="28">
        <v>0</v>
      </c>
      <c r="P457" s="27">
        <v>0</v>
      </c>
      <c r="Q457" s="29">
        <v>9</v>
      </c>
    </row>
    <row r="458" spans="1:17" x14ac:dyDescent="0.3">
      <c r="A458" s="15">
        <v>456</v>
      </c>
      <c r="B458" s="36">
        <v>1</v>
      </c>
      <c r="C458" s="5">
        <v>1</v>
      </c>
      <c r="D458" s="5">
        <v>0</v>
      </c>
      <c r="E458" s="9">
        <v>70</v>
      </c>
      <c r="F458" s="9">
        <v>1</v>
      </c>
      <c r="G458" s="9">
        <v>5.4</v>
      </c>
      <c r="H458" s="9">
        <f>CONVERT(458,"ft","m")*100</f>
        <v>13959.84</v>
      </c>
      <c r="I458" s="9">
        <f t="shared" si="14"/>
        <v>139.5984</v>
      </c>
      <c r="J458" s="9">
        <f>I458*I458</f>
        <v>19487.713282559998</v>
      </c>
      <c r="K458" s="9">
        <v>50</v>
      </c>
      <c r="L458" s="7">
        <f t="shared" si="15"/>
        <v>2.5657191931670168E-3</v>
      </c>
      <c r="M458" s="28">
        <v>0</v>
      </c>
      <c r="N458" s="28">
        <v>0</v>
      </c>
      <c r="O458" s="28">
        <v>0</v>
      </c>
      <c r="P458" s="27">
        <v>1</v>
      </c>
      <c r="Q458" s="29">
        <v>10</v>
      </c>
    </row>
    <row r="459" spans="1:17" x14ac:dyDescent="0.3">
      <c r="A459" s="15">
        <v>457</v>
      </c>
      <c r="B459" s="36">
        <v>1</v>
      </c>
      <c r="C459" s="5">
        <v>0</v>
      </c>
      <c r="D459" s="5">
        <v>0</v>
      </c>
      <c r="E459" s="9">
        <v>73</v>
      </c>
      <c r="F459" s="9">
        <v>5</v>
      </c>
      <c r="G459" s="9">
        <v>5.4</v>
      </c>
      <c r="H459" s="9">
        <f>CONVERT(459,"ft","m")*100</f>
        <v>13990.32</v>
      </c>
      <c r="I459" s="9">
        <f t="shared" si="14"/>
        <v>139.9032</v>
      </c>
      <c r="J459" s="9">
        <f>I459*I459</f>
        <v>19572.905370239998</v>
      </c>
      <c r="K459" s="9">
        <v>50</v>
      </c>
      <c r="L459" s="7">
        <f t="shared" si="15"/>
        <v>2.5545517670577137E-3</v>
      </c>
      <c r="M459" s="28">
        <v>3</v>
      </c>
      <c r="N459" s="28">
        <v>0</v>
      </c>
      <c r="O459" s="28">
        <v>0</v>
      </c>
      <c r="P459" s="35">
        <v>1</v>
      </c>
      <c r="Q459" s="29">
        <v>10</v>
      </c>
    </row>
    <row r="460" spans="1:17" x14ac:dyDescent="0.3">
      <c r="A460" s="15">
        <v>458</v>
      </c>
      <c r="B460" s="36">
        <v>1</v>
      </c>
      <c r="C460" s="5">
        <v>0</v>
      </c>
      <c r="D460" s="5">
        <v>0</v>
      </c>
      <c r="E460" s="9">
        <v>66</v>
      </c>
      <c r="F460" s="9">
        <v>0</v>
      </c>
      <c r="G460" s="9">
        <v>5.4</v>
      </c>
      <c r="H460" s="9">
        <f>CONVERT(460,"ft","m")*100</f>
        <v>14020.8</v>
      </c>
      <c r="I460" s="9">
        <f t="shared" si="14"/>
        <v>140.208</v>
      </c>
      <c r="J460" s="9">
        <f>I460*I460</f>
        <v>19658.283263999998</v>
      </c>
      <c r="K460" s="9">
        <v>58</v>
      </c>
      <c r="L460" s="7">
        <f t="shared" si="15"/>
        <v>2.9504102276425516E-3</v>
      </c>
      <c r="M460" s="28">
        <v>2</v>
      </c>
      <c r="N460" s="28">
        <v>0</v>
      </c>
      <c r="O460" s="28">
        <v>0</v>
      </c>
      <c r="P460" s="27">
        <v>0</v>
      </c>
      <c r="Q460" s="29">
        <v>9</v>
      </c>
    </row>
    <row r="461" spans="1:17" x14ac:dyDescent="0.3">
      <c r="A461" s="15">
        <v>459</v>
      </c>
      <c r="B461" s="36">
        <v>1</v>
      </c>
      <c r="C461" s="5">
        <v>0</v>
      </c>
      <c r="D461" s="5">
        <v>0</v>
      </c>
      <c r="E461" s="9">
        <v>49</v>
      </c>
      <c r="F461" s="9">
        <v>12</v>
      </c>
      <c r="G461" s="9">
        <v>5.4</v>
      </c>
      <c r="H461" s="9">
        <f>CONVERT(461,"ft","m")*100</f>
        <v>14051.28</v>
      </c>
      <c r="I461" s="9">
        <f t="shared" si="14"/>
        <v>140.5128</v>
      </c>
      <c r="J461" s="9">
        <f>I461*I461</f>
        <v>19743.846963839998</v>
      </c>
      <c r="K461" s="9">
        <v>53</v>
      </c>
      <c r="L461" s="7">
        <f t="shared" si="15"/>
        <v>2.6843806122012195E-3</v>
      </c>
      <c r="M461" s="28">
        <v>4</v>
      </c>
      <c r="N461" s="28">
        <v>0</v>
      </c>
      <c r="O461" s="28">
        <v>0</v>
      </c>
      <c r="P461" s="27">
        <v>0</v>
      </c>
      <c r="Q461" s="29">
        <v>8</v>
      </c>
    </row>
    <row r="462" spans="1:17" x14ac:dyDescent="0.3">
      <c r="A462" s="15">
        <v>460</v>
      </c>
      <c r="B462" s="36">
        <v>1</v>
      </c>
      <c r="C462" s="5">
        <v>1</v>
      </c>
      <c r="D462" s="5">
        <v>0</v>
      </c>
      <c r="E462" s="9">
        <v>42</v>
      </c>
      <c r="F462" s="9">
        <v>1</v>
      </c>
      <c r="G462" s="9">
        <v>5.4</v>
      </c>
      <c r="H462" s="9">
        <f>CONVERT(462,"ft","m")*100</f>
        <v>14081.76</v>
      </c>
      <c r="I462" s="9">
        <f t="shared" si="14"/>
        <v>140.8176</v>
      </c>
      <c r="J462" s="9">
        <f>I462*I462</f>
        <v>19829.596469759999</v>
      </c>
      <c r="K462" s="9">
        <v>65</v>
      </c>
      <c r="L462" s="7">
        <f t="shared" si="15"/>
        <v>3.2779285296664793E-3</v>
      </c>
      <c r="M462" s="28">
        <v>0</v>
      </c>
      <c r="N462" s="28">
        <v>0</v>
      </c>
      <c r="O462" s="28">
        <v>0</v>
      </c>
      <c r="P462" s="35">
        <v>1</v>
      </c>
      <c r="Q462" s="29">
        <v>9</v>
      </c>
    </row>
    <row r="463" spans="1:17" x14ac:dyDescent="0.3">
      <c r="A463" s="15">
        <v>461</v>
      </c>
      <c r="B463" s="36">
        <v>1</v>
      </c>
      <c r="C463" s="5">
        <v>1</v>
      </c>
      <c r="D463" s="5">
        <v>1</v>
      </c>
      <c r="E463" s="9">
        <v>45</v>
      </c>
      <c r="F463" s="9">
        <v>8</v>
      </c>
      <c r="G463" s="9">
        <v>5.0999999999999996</v>
      </c>
      <c r="H463" s="9">
        <f>CONVERT(463,"ft","m")*100</f>
        <v>14112.24</v>
      </c>
      <c r="I463" s="9">
        <f t="shared" si="14"/>
        <v>141.1224</v>
      </c>
      <c r="J463" s="9">
        <f>I463*I463</f>
        <v>19915.531781760001</v>
      </c>
      <c r="K463" s="9">
        <v>40</v>
      </c>
      <c r="L463" s="7">
        <f t="shared" si="15"/>
        <v>2.0084826475301413E-3</v>
      </c>
      <c r="M463" s="19">
        <v>1</v>
      </c>
      <c r="N463" s="28">
        <v>0</v>
      </c>
      <c r="O463" s="28">
        <v>0</v>
      </c>
      <c r="P463" s="35">
        <v>1</v>
      </c>
      <c r="Q463" s="29">
        <v>9</v>
      </c>
    </row>
    <row r="464" spans="1:17" x14ac:dyDescent="0.3">
      <c r="A464" s="15">
        <v>462</v>
      </c>
      <c r="B464" s="36">
        <v>1</v>
      </c>
      <c r="C464" s="5">
        <v>1</v>
      </c>
      <c r="D464" s="5">
        <v>0</v>
      </c>
      <c r="E464" s="9">
        <v>48</v>
      </c>
      <c r="F464" s="9">
        <v>1</v>
      </c>
      <c r="G464" s="9">
        <v>5.7</v>
      </c>
      <c r="H464" s="9">
        <f>CONVERT(464,"ft","m")*100</f>
        <v>14142.72</v>
      </c>
      <c r="I464" s="9">
        <f t="shared" si="14"/>
        <v>141.4272</v>
      </c>
      <c r="J464" s="9">
        <f>I464*I464</f>
        <v>20001.652899839999</v>
      </c>
      <c r="K464" s="9">
        <v>60</v>
      </c>
      <c r="L464" s="7">
        <f t="shared" si="15"/>
        <v>2.9997520855128911E-3</v>
      </c>
      <c r="M464" s="19">
        <v>1</v>
      </c>
      <c r="N464" s="28">
        <v>0</v>
      </c>
      <c r="O464" s="28">
        <v>0</v>
      </c>
      <c r="P464" s="27">
        <v>1</v>
      </c>
      <c r="Q464" s="29">
        <v>9</v>
      </c>
    </row>
    <row r="465" spans="1:17" x14ac:dyDescent="0.3">
      <c r="A465" s="15">
        <v>463</v>
      </c>
      <c r="B465" s="36">
        <v>1</v>
      </c>
      <c r="C465" s="5">
        <v>1</v>
      </c>
      <c r="D465" s="5">
        <v>1</v>
      </c>
      <c r="E465" s="9">
        <v>45</v>
      </c>
      <c r="F465" s="9">
        <v>1</v>
      </c>
      <c r="G465" s="9">
        <v>4.0999999999999996</v>
      </c>
      <c r="H465" s="9">
        <f>CONVERT(465,"ft","m")*100</f>
        <v>14173.2</v>
      </c>
      <c r="I465" s="9">
        <f t="shared" si="14"/>
        <v>141.732</v>
      </c>
      <c r="J465" s="9">
        <f>I465*I465</f>
        <v>20087.959824000001</v>
      </c>
      <c r="K465" s="9">
        <v>50</v>
      </c>
      <c r="L465" s="7">
        <f t="shared" si="15"/>
        <v>2.4890531660792512E-3</v>
      </c>
      <c r="M465" s="19">
        <v>1</v>
      </c>
      <c r="N465" s="28">
        <v>0</v>
      </c>
      <c r="O465" s="28">
        <v>1</v>
      </c>
      <c r="P465" s="27">
        <v>0</v>
      </c>
      <c r="Q465" s="29">
        <v>9</v>
      </c>
    </row>
    <row r="466" spans="1:17" x14ac:dyDescent="0.3">
      <c r="A466" s="15">
        <v>464</v>
      </c>
      <c r="B466" s="36">
        <v>1</v>
      </c>
      <c r="C466" s="5">
        <v>1</v>
      </c>
      <c r="D466" s="5">
        <v>0</v>
      </c>
      <c r="E466" s="9">
        <v>48</v>
      </c>
      <c r="F466" s="9">
        <v>1</v>
      </c>
      <c r="G466" s="9">
        <v>4.5999999999999996</v>
      </c>
      <c r="H466" s="9">
        <f>CONVERT(466,"ft","m")*100</f>
        <v>14203.68</v>
      </c>
      <c r="I466" s="9">
        <f t="shared" si="14"/>
        <v>142.0368</v>
      </c>
      <c r="J466" s="9">
        <f>I466*I466</f>
        <v>20174.452554240001</v>
      </c>
      <c r="K466" s="9">
        <v>50</v>
      </c>
      <c r="L466" s="7">
        <f t="shared" si="15"/>
        <v>2.4783819965162653E-3</v>
      </c>
      <c r="M466" s="19">
        <v>1</v>
      </c>
      <c r="N466" s="28">
        <v>0</v>
      </c>
      <c r="O466" s="28">
        <v>1</v>
      </c>
      <c r="P466" s="27">
        <v>0</v>
      </c>
      <c r="Q466" s="29">
        <v>9</v>
      </c>
    </row>
    <row r="467" spans="1:17" x14ac:dyDescent="0.3">
      <c r="A467" s="15">
        <v>465</v>
      </c>
      <c r="B467" s="36">
        <v>1</v>
      </c>
      <c r="C467" s="5">
        <v>1</v>
      </c>
      <c r="D467" s="5">
        <v>0</v>
      </c>
      <c r="E467" s="9">
        <v>36</v>
      </c>
      <c r="F467" s="9">
        <v>1</v>
      </c>
      <c r="G467" s="9">
        <v>5.5</v>
      </c>
      <c r="H467" s="9">
        <f>CONVERT(467,"ft","m")*100</f>
        <v>14234.16</v>
      </c>
      <c r="I467" s="9">
        <f t="shared" si="14"/>
        <v>142.3416</v>
      </c>
      <c r="J467" s="9">
        <f>I467*I467</f>
        <v>20261.13109056</v>
      </c>
      <c r="K467" s="9">
        <v>65</v>
      </c>
      <c r="L467" s="7">
        <f t="shared" si="15"/>
        <v>3.2081130964245418E-3</v>
      </c>
      <c r="M467" s="19">
        <v>1</v>
      </c>
      <c r="N467" s="28">
        <v>0</v>
      </c>
      <c r="O467" s="28">
        <v>0</v>
      </c>
      <c r="P467" s="27">
        <v>1</v>
      </c>
      <c r="Q467" s="29">
        <v>9</v>
      </c>
    </row>
    <row r="468" spans="1:17" x14ac:dyDescent="0.3">
      <c r="A468" s="15">
        <v>466</v>
      </c>
      <c r="B468" s="36">
        <v>1</v>
      </c>
      <c r="C468" s="5">
        <v>1</v>
      </c>
      <c r="D468" s="5">
        <v>1</v>
      </c>
      <c r="E468" s="9">
        <v>35</v>
      </c>
      <c r="F468" s="9">
        <v>15</v>
      </c>
      <c r="G468" s="9">
        <v>5.6</v>
      </c>
      <c r="H468" s="9">
        <f>CONVERT(468,"ft","m")*100</f>
        <v>14264.64</v>
      </c>
      <c r="I468" s="9">
        <f t="shared" si="14"/>
        <v>142.6464</v>
      </c>
      <c r="J468" s="9">
        <f>I468*I468</f>
        <v>20347.99543296</v>
      </c>
      <c r="K468" s="9">
        <v>45</v>
      </c>
      <c r="L468" s="7">
        <f t="shared" si="15"/>
        <v>2.211520056030104E-3</v>
      </c>
      <c r="M468" s="19">
        <v>1</v>
      </c>
      <c r="N468" s="28">
        <v>0</v>
      </c>
      <c r="O468" s="28">
        <v>0</v>
      </c>
      <c r="P468" s="27">
        <v>1</v>
      </c>
      <c r="Q468" s="29">
        <v>9</v>
      </c>
    </row>
    <row r="469" spans="1:17" x14ac:dyDescent="0.3">
      <c r="A469" s="15">
        <v>467</v>
      </c>
      <c r="B469" s="36">
        <v>1</v>
      </c>
      <c r="C469" s="5">
        <v>1</v>
      </c>
      <c r="D469" s="5">
        <v>0</v>
      </c>
      <c r="E469" s="9">
        <v>53</v>
      </c>
      <c r="F469" s="9">
        <v>1</v>
      </c>
      <c r="G469" s="9">
        <v>6.2</v>
      </c>
      <c r="H469" s="9">
        <f>CONVERT(469,"ft","m")*100</f>
        <v>14295.12</v>
      </c>
      <c r="I469" s="9">
        <f t="shared" si="14"/>
        <v>142.9512</v>
      </c>
      <c r="J469" s="9">
        <f>I469*I469</f>
        <v>20435.045581440001</v>
      </c>
      <c r="K469" s="9">
        <v>68</v>
      </c>
      <c r="L469" s="7">
        <f t="shared" si="15"/>
        <v>3.327616751770819E-3</v>
      </c>
      <c r="M469" s="19">
        <v>1</v>
      </c>
      <c r="N469" s="28">
        <v>0</v>
      </c>
      <c r="O469" s="28">
        <v>0</v>
      </c>
      <c r="P469" s="27">
        <v>0</v>
      </c>
      <c r="Q469" s="29">
        <v>9</v>
      </c>
    </row>
    <row r="470" spans="1:17" x14ac:dyDescent="0.3">
      <c r="A470" s="15">
        <v>468</v>
      </c>
      <c r="B470" s="36">
        <v>1</v>
      </c>
      <c r="C470" s="5">
        <v>1</v>
      </c>
      <c r="D470" s="5">
        <v>1</v>
      </c>
      <c r="E470" s="9">
        <v>65</v>
      </c>
      <c r="F470" s="9">
        <v>1</v>
      </c>
      <c r="G470" s="9">
        <v>5.6</v>
      </c>
      <c r="H470" s="9">
        <f>CONVERT(470,"ft","m")*100</f>
        <v>14325.6</v>
      </c>
      <c r="I470" s="9">
        <f t="shared" si="14"/>
        <v>143.256</v>
      </c>
      <c r="J470" s="9">
        <f>I470*I470</f>
        <v>20522.281535999999</v>
      </c>
      <c r="K470" s="9">
        <v>50</v>
      </c>
      <c r="L470" s="7">
        <f t="shared" si="15"/>
        <v>2.4363762826414039E-3</v>
      </c>
      <c r="M470" s="28">
        <v>0</v>
      </c>
      <c r="N470" s="28">
        <v>0</v>
      </c>
      <c r="O470" s="28">
        <v>0</v>
      </c>
      <c r="P470" s="27">
        <v>0</v>
      </c>
      <c r="Q470" s="29">
        <v>9</v>
      </c>
    </row>
    <row r="471" spans="1:17" x14ac:dyDescent="0.3">
      <c r="A471" s="15">
        <v>469</v>
      </c>
      <c r="B471" s="36">
        <v>1</v>
      </c>
      <c r="C471" s="5">
        <v>1</v>
      </c>
      <c r="D471" s="5">
        <v>0</v>
      </c>
      <c r="E471" s="9">
        <v>93</v>
      </c>
      <c r="F471" s="9">
        <v>1</v>
      </c>
      <c r="G471" s="9">
        <v>5.2</v>
      </c>
      <c r="H471" s="9">
        <f>CONVERT(471,"ft","m")*100</f>
        <v>14356.08</v>
      </c>
      <c r="I471" s="9">
        <f t="shared" si="14"/>
        <v>143.5608</v>
      </c>
      <c r="J471" s="9">
        <f>I471*I471</f>
        <v>20609.70329664</v>
      </c>
      <c r="K471" s="9">
        <v>56</v>
      </c>
      <c r="L471" s="7">
        <f t="shared" si="15"/>
        <v>2.7171667245267758E-3</v>
      </c>
      <c r="M471" s="28">
        <v>0</v>
      </c>
      <c r="N471" s="28">
        <v>0</v>
      </c>
      <c r="O471" s="28">
        <v>0</v>
      </c>
      <c r="P471" s="27">
        <v>0</v>
      </c>
      <c r="Q471" s="29">
        <v>9</v>
      </c>
    </row>
    <row r="472" spans="1:17" x14ac:dyDescent="0.3">
      <c r="A472" s="15">
        <v>470</v>
      </c>
      <c r="B472" s="36">
        <v>1</v>
      </c>
      <c r="C472" s="5">
        <v>0</v>
      </c>
      <c r="D472" s="5">
        <v>1</v>
      </c>
      <c r="E472" s="9">
        <v>65</v>
      </c>
      <c r="F472" s="9">
        <v>23</v>
      </c>
      <c r="G472" s="9">
        <v>4.0999999999999996</v>
      </c>
      <c r="H472" s="9">
        <f>CONVERT(472,"ft","m")*100</f>
        <v>14386.56</v>
      </c>
      <c r="I472" s="9">
        <f t="shared" si="14"/>
        <v>143.8656</v>
      </c>
      <c r="J472" s="9">
        <f>I472*I472</f>
        <v>20697.310863359999</v>
      </c>
      <c r="K472" s="9">
        <v>50</v>
      </c>
      <c r="L472" s="7">
        <f t="shared" si="15"/>
        <v>2.4157727701966305E-3</v>
      </c>
      <c r="M472" s="28">
        <v>0</v>
      </c>
      <c r="N472" s="28">
        <v>0</v>
      </c>
      <c r="O472" s="28">
        <v>0</v>
      </c>
      <c r="P472" s="27">
        <v>0</v>
      </c>
      <c r="Q472" s="29">
        <v>9</v>
      </c>
    </row>
    <row r="473" spans="1:17" x14ac:dyDescent="0.3">
      <c r="A473" s="15">
        <v>471</v>
      </c>
      <c r="B473" s="36">
        <v>1</v>
      </c>
      <c r="C473" s="5">
        <v>0</v>
      </c>
      <c r="D473" s="5">
        <v>0</v>
      </c>
      <c r="E473" s="9">
        <v>53</v>
      </c>
      <c r="F473" s="9">
        <v>9</v>
      </c>
      <c r="G473" s="9">
        <v>5.5</v>
      </c>
      <c r="H473" s="9">
        <f>CONVERT(473,"ft","m")*100</f>
        <v>14417.04</v>
      </c>
      <c r="I473" s="9">
        <f t="shared" ref="I473:I536" si="16">H473/100</f>
        <v>144.1704</v>
      </c>
      <c r="J473" s="9">
        <f>I473*I473</f>
        <v>20785.104236160001</v>
      </c>
      <c r="K473" s="9">
        <v>80</v>
      </c>
      <c r="L473" s="7">
        <f t="shared" si="15"/>
        <v>3.8489102143073888E-3</v>
      </c>
      <c r="M473" s="28">
        <v>0</v>
      </c>
      <c r="N473" s="28">
        <v>0</v>
      </c>
      <c r="O473" s="28">
        <v>0</v>
      </c>
      <c r="P473" s="27">
        <v>0</v>
      </c>
      <c r="Q473" s="29">
        <v>9</v>
      </c>
    </row>
    <row r="474" spans="1:17" x14ac:dyDescent="0.3">
      <c r="A474" s="15">
        <v>472</v>
      </c>
      <c r="B474" s="36">
        <v>1</v>
      </c>
      <c r="C474" s="5">
        <v>0</v>
      </c>
      <c r="D474" s="5">
        <v>0</v>
      </c>
      <c r="E474" s="9">
        <v>76</v>
      </c>
      <c r="F474" s="9">
        <v>1</v>
      </c>
      <c r="G474" s="9">
        <v>5.6</v>
      </c>
      <c r="H474" s="9">
        <f>CONVERT(474,"ft","m")*100</f>
        <v>14447.52</v>
      </c>
      <c r="I474" s="9">
        <f t="shared" si="16"/>
        <v>144.4752</v>
      </c>
      <c r="J474" s="9">
        <f>I474*I474</f>
        <v>20873.083415040001</v>
      </c>
      <c r="K474" s="9">
        <v>57</v>
      </c>
      <c r="L474" s="7">
        <f t="shared" si="15"/>
        <v>2.7307896426518818E-3</v>
      </c>
      <c r="M474" s="28">
        <v>0</v>
      </c>
      <c r="N474" s="28">
        <v>0</v>
      </c>
      <c r="O474" s="28">
        <v>0</v>
      </c>
      <c r="P474" s="27">
        <v>0</v>
      </c>
      <c r="Q474" s="29">
        <v>9</v>
      </c>
    </row>
    <row r="475" spans="1:17" x14ac:dyDescent="0.3">
      <c r="A475" s="15">
        <v>473</v>
      </c>
      <c r="B475" s="36">
        <v>1</v>
      </c>
      <c r="C475" s="5">
        <v>1</v>
      </c>
      <c r="D475" s="5">
        <v>0</v>
      </c>
      <c r="E475" s="9">
        <v>56</v>
      </c>
      <c r="F475" s="9">
        <v>8</v>
      </c>
      <c r="G475" s="9">
        <v>5.0999999999999996</v>
      </c>
      <c r="H475" s="9">
        <f>CONVERT(475,"ft","m")*100</f>
        <v>14478</v>
      </c>
      <c r="I475" s="9">
        <f t="shared" si="16"/>
        <v>144.78</v>
      </c>
      <c r="J475" s="9">
        <f>I475*I475</f>
        <v>20961.2484</v>
      </c>
      <c r="K475" s="9">
        <v>65</v>
      </c>
      <c r="L475" s="7">
        <f t="shared" si="15"/>
        <v>3.1009603416559863E-3</v>
      </c>
      <c r="M475" s="19">
        <v>1</v>
      </c>
      <c r="N475" s="28">
        <v>0</v>
      </c>
      <c r="O475" s="28">
        <v>0</v>
      </c>
      <c r="P475" s="27">
        <v>0</v>
      </c>
      <c r="Q475" s="29">
        <v>9</v>
      </c>
    </row>
    <row r="476" spans="1:17" x14ac:dyDescent="0.3">
      <c r="A476" s="15">
        <v>474</v>
      </c>
      <c r="B476" s="36">
        <v>1</v>
      </c>
      <c r="C476" s="5">
        <v>1</v>
      </c>
      <c r="D476" s="5">
        <v>0</v>
      </c>
      <c r="E476" s="9">
        <v>45</v>
      </c>
      <c r="F476" s="9">
        <v>4</v>
      </c>
      <c r="G476" s="9">
        <v>5.8</v>
      </c>
      <c r="H476" s="9">
        <f>CONVERT(476,"ft","m")*100</f>
        <v>14508.48</v>
      </c>
      <c r="I476" s="9">
        <f t="shared" si="16"/>
        <v>145.0848</v>
      </c>
      <c r="J476" s="9">
        <f>I476*I476</f>
        <v>21049.599191040001</v>
      </c>
      <c r="K476" s="9">
        <v>60</v>
      </c>
      <c r="L476" s="7">
        <f t="shared" si="15"/>
        <v>2.8504105686506221E-3</v>
      </c>
      <c r="M476" s="19">
        <v>1</v>
      </c>
      <c r="N476" s="28">
        <v>0</v>
      </c>
      <c r="O476" s="28">
        <v>0</v>
      </c>
      <c r="P476" s="27">
        <v>0</v>
      </c>
      <c r="Q476" s="29">
        <v>9</v>
      </c>
    </row>
    <row r="477" spans="1:17" x14ac:dyDescent="0.3">
      <c r="A477" s="15">
        <v>475</v>
      </c>
      <c r="B477" s="36">
        <v>1</v>
      </c>
      <c r="C477" s="5">
        <v>1</v>
      </c>
      <c r="D477" s="5">
        <v>1</v>
      </c>
      <c r="E477" s="9">
        <v>24</v>
      </c>
      <c r="F477" s="9">
        <v>4</v>
      </c>
      <c r="G477" s="9">
        <v>5.0999999999999996</v>
      </c>
      <c r="H477" s="9">
        <f>CONVERT(477,"ft","m")*100</f>
        <v>14538.960000000001</v>
      </c>
      <c r="I477" s="9">
        <f t="shared" si="16"/>
        <v>145.3896</v>
      </c>
      <c r="J477" s="9">
        <f>I477*I477</f>
        <v>21138.135788160002</v>
      </c>
      <c r="K477" s="9">
        <v>40</v>
      </c>
      <c r="L477" s="7">
        <f t="shared" si="15"/>
        <v>1.8923144595563153E-3</v>
      </c>
      <c r="M477" s="19">
        <v>1</v>
      </c>
      <c r="N477" s="28">
        <v>0</v>
      </c>
      <c r="O477" s="28">
        <v>0</v>
      </c>
      <c r="P477" s="27">
        <v>0</v>
      </c>
      <c r="Q477" s="29">
        <v>7.4</v>
      </c>
    </row>
    <row r="478" spans="1:17" x14ac:dyDescent="0.3">
      <c r="A478" s="15">
        <v>476</v>
      </c>
      <c r="B478" s="36">
        <v>1</v>
      </c>
      <c r="C478" s="5">
        <v>1</v>
      </c>
      <c r="D478" s="5">
        <v>0</v>
      </c>
      <c r="E478" s="9">
        <v>55</v>
      </c>
      <c r="F478" s="9">
        <v>22</v>
      </c>
      <c r="G478" s="9">
        <v>4.9000000000000004</v>
      </c>
      <c r="H478" s="9">
        <f>CONVERT(478,"ft","m")*100</f>
        <v>14569.44</v>
      </c>
      <c r="I478" s="9">
        <f t="shared" si="16"/>
        <v>145.6944</v>
      </c>
      <c r="J478" s="9">
        <f>I478*I478</f>
        <v>21226.858191359999</v>
      </c>
      <c r="K478" s="9">
        <v>48</v>
      </c>
      <c r="L478" s="7">
        <f t="shared" si="15"/>
        <v>2.2612861294535576E-3</v>
      </c>
      <c r="M478" s="19">
        <v>1</v>
      </c>
      <c r="N478" s="28">
        <v>0</v>
      </c>
      <c r="O478" s="28">
        <v>1</v>
      </c>
      <c r="P478" s="27">
        <v>0</v>
      </c>
      <c r="Q478" s="29">
        <v>8</v>
      </c>
    </row>
    <row r="479" spans="1:17" x14ac:dyDescent="0.3">
      <c r="A479" s="15">
        <v>477</v>
      </c>
      <c r="B479" s="36">
        <v>1</v>
      </c>
      <c r="C479" s="5">
        <v>1</v>
      </c>
      <c r="D479" s="5">
        <v>1</v>
      </c>
      <c r="E479" s="9">
        <v>40</v>
      </c>
      <c r="F479" s="9">
        <v>23</v>
      </c>
      <c r="G479" s="9">
        <v>6.2</v>
      </c>
      <c r="H479" s="9">
        <f>CONVERT(479,"ft","m")*100</f>
        <v>14599.92</v>
      </c>
      <c r="I479" s="9">
        <f t="shared" si="16"/>
        <v>145.9992</v>
      </c>
      <c r="J479" s="9">
        <f>I479*I479</f>
        <v>21315.766400640001</v>
      </c>
      <c r="K479" s="9">
        <v>55</v>
      </c>
      <c r="L479" s="7">
        <f t="shared" si="15"/>
        <v>2.5802497065434454E-3</v>
      </c>
      <c r="M479" s="19">
        <v>1</v>
      </c>
      <c r="N479" s="28">
        <v>0</v>
      </c>
      <c r="O479" s="28">
        <v>1</v>
      </c>
      <c r="P479" s="27">
        <v>0</v>
      </c>
      <c r="Q479" s="29">
        <v>11</v>
      </c>
    </row>
    <row r="480" spans="1:17" x14ac:dyDescent="0.3">
      <c r="A480" s="15">
        <v>478</v>
      </c>
      <c r="B480" s="36">
        <v>1</v>
      </c>
      <c r="C480" s="5">
        <v>1</v>
      </c>
      <c r="D480" s="5">
        <v>1</v>
      </c>
      <c r="E480" s="9">
        <v>43</v>
      </c>
      <c r="F480" s="9">
        <v>0</v>
      </c>
      <c r="G480" s="9">
        <v>5.2</v>
      </c>
      <c r="H480" s="9">
        <f>CONVERT(480,"ft","m")*100</f>
        <v>14630.4</v>
      </c>
      <c r="I480" s="9">
        <f t="shared" si="16"/>
        <v>146.304</v>
      </c>
      <c r="J480" s="9">
        <f>I480*I480</f>
        <v>21404.860416</v>
      </c>
      <c r="K480" s="9">
        <v>56</v>
      </c>
      <c r="L480" s="7">
        <f t="shared" si="15"/>
        <v>2.6162282262836133E-3</v>
      </c>
      <c r="M480" s="19">
        <v>1</v>
      </c>
      <c r="N480" s="28">
        <v>0</v>
      </c>
      <c r="O480" s="28">
        <v>1</v>
      </c>
      <c r="P480" s="27">
        <v>0</v>
      </c>
      <c r="Q480" s="29">
        <v>12</v>
      </c>
    </row>
    <row r="481" spans="1:20" x14ac:dyDescent="0.3">
      <c r="A481" s="15">
        <v>479</v>
      </c>
      <c r="B481" s="36">
        <v>1</v>
      </c>
      <c r="C481" s="5">
        <v>1</v>
      </c>
      <c r="D481" s="5">
        <v>0</v>
      </c>
      <c r="E481" s="9">
        <v>23</v>
      </c>
      <c r="F481" s="9">
        <v>1</v>
      </c>
      <c r="G481" s="9">
        <v>4.3</v>
      </c>
      <c r="H481" s="9">
        <f>CONVERT(481,"ft","m")*100</f>
        <v>14660.880000000001</v>
      </c>
      <c r="I481" s="9">
        <f t="shared" si="16"/>
        <v>146.6088</v>
      </c>
      <c r="J481" s="9">
        <f>I481*I481</f>
        <v>21494.140237440002</v>
      </c>
      <c r="K481" s="9">
        <v>55</v>
      </c>
      <c r="L481" s="7">
        <f t="shared" si="15"/>
        <v>2.5588369384599596E-3</v>
      </c>
      <c r="M481" s="19">
        <v>1</v>
      </c>
      <c r="N481" s="28">
        <v>0</v>
      </c>
      <c r="O481" s="28">
        <v>1</v>
      </c>
      <c r="P481" s="27">
        <v>0</v>
      </c>
      <c r="Q481" s="29">
        <v>8</v>
      </c>
    </row>
    <row r="482" spans="1:20" x14ac:dyDescent="0.3">
      <c r="A482" s="15">
        <v>480</v>
      </c>
      <c r="B482" s="36">
        <v>1</v>
      </c>
      <c r="C482" s="5">
        <v>1</v>
      </c>
      <c r="D482" s="5">
        <v>1</v>
      </c>
      <c r="E482" s="9">
        <v>28</v>
      </c>
      <c r="F482" s="9">
        <v>1</v>
      </c>
      <c r="G482" s="9">
        <v>4.0999999999999996</v>
      </c>
      <c r="H482" s="9">
        <f>CONVERT(482,"ft","m")*100</f>
        <v>14691.36</v>
      </c>
      <c r="I482" s="9">
        <f t="shared" si="16"/>
        <v>146.9136</v>
      </c>
      <c r="J482" s="9">
        <f>I482*I482</f>
        <v>21583.605864960002</v>
      </c>
      <c r="K482" s="9">
        <v>60</v>
      </c>
      <c r="L482" s="7">
        <f t="shared" si="15"/>
        <v>2.779887678425747E-3</v>
      </c>
      <c r="M482" s="28">
        <v>0</v>
      </c>
      <c r="N482" s="28">
        <v>0</v>
      </c>
      <c r="O482" s="28">
        <v>1</v>
      </c>
      <c r="P482" s="27">
        <v>0</v>
      </c>
      <c r="Q482" s="29">
        <v>8</v>
      </c>
    </row>
    <row r="483" spans="1:20" x14ac:dyDescent="0.3">
      <c r="A483" s="15">
        <v>481</v>
      </c>
      <c r="B483" s="36">
        <v>1</v>
      </c>
      <c r="C483" s="5">
        <v>1</v>
      </c>
      <c r="D483" s="5">
        <v>1</v>
      </c>
      <c r="E483" s="9">
        <v>34</v>
      </c>
      <c r="F483" s="9">
        <v>1</v>
      </c>
      <c r="G483" s="9">
        <v>4.5999999999999996</v>
      </c>
      <c r="H483" s="9">
        <f>CONVERT(483,"ft","m")*100</f>
        <v>14721.84</v>
      </c>
      <c r="I483" s="9">
        <f t="shared" si="16"/>
        <v>147.2184</v>
      </c>
      <c r="J483" s="9">
        <f>I483*I483</f>
        <v>21673.257298560002</v>
      </c>
      <c r="K483" s="9">
        <v>55</v>
      </c>
      <c r="L483" s="7">
        <f t="shared" si="15"/>
        <v>2.5376896163944065E-3</v>
      </c>
      <c r="M483" s="28">
        <v>0</v>
      </c>
      <c r="N483" s="28">
        <v>0</v>
      </c>
      <c r="O483" s="28">
        <v>1</v>
      </c>
      <c r="P483" s="27">
        <v>0</v>
      </c>
      <c r="Q483" s="29">
        <v>8</v>
      </c>
    </row>
    <row r="484" spans="1:20" x14ac:dyDescent="0.3">
      <c r="A484" s="15">
        <v>482</v>
      </c>
      <c r="B484" s="36">
        <v>1</v>
      </c>
      <c r="C484" s="5">
        <v>1</v>
      </c>
      <c r="D484" s="5">
        <v>1</v>
      </c>
      <c r="E484" s="9">
        <v>31</v>
      </c>
      <c r="F484" s="9">
        <v>14</v>
      </c>
      <c r="G484" s="9">
        <v>5.5</v>
      </c>
      <c r="H484" s="9">
        <f>CONVERT(484,"ft","m")*100</f>
        <v>14752.32</v>
      </c>
      <c r="I484" s="9">
        <f t="shared" si="16"/>
        <v>147.5232</v>
      </c>
      <c r="J484" s="9">
        <f>I484*I484</f>
        <v>21763.094538240002</v>
      </c>
      <c r="K484" s="9">
        <v>60</v>
      </c>
      <c r="L484" s="7">
        <f t="shared" si="15"/>
        <v>2.7569608676088694E-3</v>
      </c>
      <c r="M484" s="28">
        <v>0</v>
      </c>
      <c r="N484" s="28">
        <v>0</v>
      </c>
      <c r="O484" s="28">
        <v>1</v>
      </c>
      <c r="P484" s="27">
        <v>0</v>
      </c>
      <c r="Q484" s="29">
        <v>8</v>
      </c>
    </row>
    <row r="485" spans="1:20" s="12" customFormat="1" x14ac:dyDescent="0.3">
      <c r="A485" s="15">
        <v>483</v>
      </c>
      <c r="B485" s="36">
        <v>1</v>
      </c>
      <c r="C485" s="5">
        <v>1</v>
      </c>
      <c r="D485" s="5">
        <v>0</v>
      </c>
      <c r="E485" s="9">
        <v>47</v>
      </c>
      <c r="F485" s="9">
        <v>1</v>
      </c>
      <c r="G485" s="9">
        <v>5.6</v>
      </c>
      <c r="H485" s="9">
        <f>CONVERT(485,"ft","m")*100</f>
        <v>14782.800000000001</v>
      </c>
      <c r="I485" s="9">
        <f t="shared" si="16"/>
        <v>147.828</v>
      </c>
      <c r="J485" s="9">
        <f>I485*I485</f>
        <v>21853.117584</v>
      </c>
      <c r="K485" s="9">
        <v>60</v>
      </c>
      <c r="L485" s="7">
        <f t="shared" si="15"/>
        <v>2.7456036773411984E-3</v>
      </c>
      <c r="M485" s="19">
        <v>1</v>
      </c>
      <c r="N485" s="28">
        <v>0</v>
      </c>
      <c r="O485" s="28">
        <v>1</v>
      </c>
      <c r="P485" s="27">
        <v>0</v>
      </c>
      <c r="Q485" s="29">
        <v>8</v>
      </c>
      <c r="R485" s="7"/>
      <c r="S485" s="7"/>
      <c r="T485" s="7"/>
    </row>
    <row r="486" spans="1:20" x14ac:dyDescent="0.3">
      <c r="A486" s="15">
        <v>484</v>
      </c>
      <c r="B486" s="36">
        <v>1</v>
      </c>
      <c r="C486" s="5">
        <v>1</v>
      </c>
      <c r="D486" s="5">
        <v>0</v>
      </c>
      <c r="E486" s="9">
        <v>68</v>
      </c>
      <c r="F486" s="9">
        <v>1</v>
      </c>
      <c r="G486" s="9">
        <v>6.2</v>
      </c>
      <c r="H486" s="9">
        <f>CONVERT(486,"ft","m")*100</f>
        <v>14813.28</v>
      </c>
      <c r="I486" s="9">
        <f t="shared" si="16"/>
        <v>148.1328</v>
      </c>
      <c r="J486" s="9">
        <f>I486*I486</f>
        <v>21943.326435840001</v>
      </c>
      <c r="K486" s="9">
        <v>75</v>
      </c>
      <c r="L486" s="7">
        <f t="shared" si="15"/>
        <v>3.4178956512948108E-3</v>
      </c>
      <c r="M486" s="19">
        <v>1</v>
      </c>
      <c r="N486" s="28">
        <v>0</v>
      </c>
      <c r="O486" s="28">
        <v>1</v>
      </c>
      <c r="P486" s="27">
        <v>0</v>
      </c>
      <c r="Q486" s="29">
        <v>10</v>
      </c>
    </row>
    <row r="487" spans="1:20" x14ac:dyDescent="0.3">
      <c r="A487" s="15">
        <v>485</v>
      </c>
      <c r="B487" s="36">
        <v>1</v>
      </c>
      <c r="C487" s="5">
        <v>1</v>
      </c>
      <c r="D487" s="5">
        <v>0</v>
      </c>
      <c r="E487" s="9">
        <v>52</v>
      </c>
      <c r="F487" s="9">
        <v>1</v>
      </c>
      <c r="G487" s="9">
        <v>5.6</v>
      </c>
      <c r="H487" s="9">
        <f>CONVERT(487,"ft","m")*100</f>
        <v>14843.76</v>
      </c>
      <c r="I487" s="9">
        <f t="shared" si="16"/>
        <v>148.4376</v>
      </c>
      <c r="J487" s="9">
        <f>I487*I487</f>
        <v>22033.721093759999</v>
      </c>
      <c r="K487" s="9">
        <v>65</v>
      </c>
      <c r="L487" s="7">
        <f t="shared" si="15"/>
        <v>2.9500237260608763E-3</v>
      </c>
      <c r="M487" s="19">
        <v>1</v>
      </c>
      <c r="N487" s="28">
        <v>0</v>
      </c>
      <c r="O487" s="28">
        <v>1</v>
      </c>
      <c r="P487" s="27">
        <v>0</v>
      </c>
      <c r="Q487" s="29">
        <v>9</v>
      </c>
    </row>
    <row r="488" spans="1:20" x14ac:dyDescent="0.3">
      <c r="A488" s="15">
        <v>486</v>
      </c>
      <c r="B488" s="36">
        <v>1</v>
      </c>
      <c r="C488" s="5">
        <v>0</v>
      </c>
      <c r="D488" s="5">
        <v>1</v>
      </c>
      <c r="E488" s="9">
        <v>44</v>
      </c>
      <c r="F488" s="9">
        <v>1</v>
      </c>
      <c r="G488" s="9">
        <v>5.2</v>
      </c>
      <c r="H488" s="9">
        <f>CONVERT(488,"ft","m")*100</f>
        <v>14874.24</v>
      </c>
      <c r="I488" s="9">
        <f t="shared" si="16"/>
        <v>148.7424</v>
      </c>
      <c r="J488" s="9">
        <f>I488*I488</f>
        <v>22124.301557760002</v>
      </c>
      <c r="K488" s="9">
        <v>60</v>
      </c>
      <c r="L488" s="7">
        <f t="shared" si="15"/>
        <v>2.7119500176472355E-3</v>
      </c>
      <c r="M488" s="19">
        <v>1</v>
      </c>
      <c r="N488" s="28">
        <v>0</v>
      </c>
      <c r="O488" s="28">
        <v>1</v>
      </c>
      <c r="P488" s="27">
        <v>0</v>
      </c>
      <c r="Q488" s="29">
        <v>9</v>
      </c>
    </row>
    <row r="489" spans="1:20" x14ac:dyDescent="0.3">
      <c r="A489" s="15">
        <v>487</v>
      </c>
      <c r="B489" s="36">
        <v>1</v>
      </c>
      <c r="C489" s="5">
        <v>0</v>
      </c>
      <c r="D489" s="5">
        <v>0</v>
      </c>
      <c r="E489" s="9">
        <v>29</v>
      </c>
      <c r="F489" s="9">
        <v>15</v>
      </c>
      <c r="G489" s="9">
        <v>4.0999999999999996</v>
      </c>
      <c r="H489" s="9">
        <f>CONVERT(489,"ft","m")*100</f>
        <v>14904.720000000001</v>
      </c>
      <c r="I489" s="9">
        <f t="shared" si="16"/>
        <v>149.0472</v>
      </c>
      <c r="J489" s="9">
        <f>I489*I489</f>
        <v>22215.067827840001</v>
      </c>
      <c r="K489" s="9">
        <v>55</v>
      </c>
      <c r="L489" s="7">
        <f t="shared" si="15"/>
        <v>2.4757970772915582E-3</v>
      </c>
      <c r="M489" s="19">
        <v>1</v>
      </c>
      <c r="N489" s="28">
        <v>0</v>
      </c>
      <c r="O489" s="28">
        <v>1</v>
      </c>
      <c r="P489" s="27">
        <v>0</v>
      </c>
      <c r="Q489" s="29">
        <v>9</v>
      </c>
    </row>
    <row r="490" spans="1:20" x14ac:dyDescent="0.3">
      <c r="A490" s="15">
        <v>488</v>
      </c>
      <c r="B490" s="36">
        <v>1</v>
      </c>
      <c r="C490" s="5">
        <v>0</v>
      </c>
      <c r="D490" s="5">
        <v>0</v>
      </c>
      <c r="E490" s="9">
        <v>40</v>
      </c>
      <c r="F490" s="9">
        <v>8</v>
      </c>
      <c r="G490" s="9">
        <v>5.5</v>
      </c>
      <c r="H490" s="9">
        <f>CONVERT(490,"ft","m")*100</f>
        <v>14935.2</v>
      </c>
      <c r="I490" s="9">
        <f t="shared" si="16"/>
        <v>149.352</v>
      </c>
      <c r="J490" s="9">
        <f>I490*I490</f>
        <v>22306.019904000001</v>
      </c>
      <c r="K490" s="9">
        <v>55</v>
      </c>
      <c r="L490" s="7">
        <f t="shared" si="15"/>
        <v>2.4657020946232183E-3</v>
      </c>
      <c r="M490" s="19">
        <v>1</v>
      </c>
      <c r="N490" s="28">
        <v>0</v>
      </c>
      <c r="O490" s="28">
        <v>1</v>
      </c>
      <c r="P490" s="27">
        <v>0</v>
      </c>
      <c r="Q490" s="29">
        <v>9</v>
      </c>
    </row>
    <row r="491" spans="1:20" x14ac:dyDescent="0.3">
      <c r="A491" s="15">
        <v>489</v>
      </c>
      <c r="B491" s="36">
        <v>1</v>
      </c>
      <c r="C491" s="5">
        <v>1</v>
      </c>
      <c r="D491" s="5">
        <v>0</v>
      </c>
      <c r="E491" s="9">
        <v>39</v>
      </c>
      <c r="F491" s="9">
        <v>17</v>
      </c>
      <c r="G491" s="9">
        <v>5.6</v>
      </c>
      <c r="H491" s="9">
        <f>CONVERT(491,"ft","m")*100</f>
        <v>14965.68</v>
      </c>
      <c r="I491" s="9">
        <f t="shared" si="16"/>
        <v>149.6568</v>
      </c>
      <c r="J491" s="9">
        <f>I491*I491</f>
        <v>22397.157786240001</v>
      </c>
      <c r="K491" s="9">
        <v>55</v>
      </c>
      <c r="L491" s="7">
        <f t="shared" si="15"/>
        <v>2.4556687292612636E-3</v>
      </c>
      <c r="M491" s="19">
        <v>1</v>
      </c>
      <c r="N491" s="33">
        <v>2</v>
      </c>
      <c r="O491" s="28">
        <v>1</v>
      </c>
      <c r="P491" s="27">
        <v>0</v>
      </c>
      <c r="Q491" s="29">
        <v>9</v>
      </c>
    </row>
    <row r="492" spans="1:20" x14ac:dyDescent="0.3">
      <c r="A492" s="15">
        <v>490</v>
      </c>
      <c r="B492" s="36">
        <v>1</v>
      </c>
      <c r="C492" s="5">
        <v>1</v>
      </c>
      <c r="D492" s="5">
        <v>1</v>
      </c>
      <c r="E492" s="9">
        <v>32</v>
      </c>
      <c r="F492" s="9">
        <v>4</v>
      </c>
      <c r="G492" s="9">
        <v>5.0999999999999996</v>
      </c>
      <c r="H492" s="9">
        <f>CONVERT(492,"ft","m")*100</f>
        <v>14996.16</v>
      </c>
      <c r="I492" s="9">
        <f t="shared" si="16"/>
        <v>149.9616</v>
      </c>
      <c r="J492" s="9">
        <f>I492*I492</f>
        <v>22488.481474560002</v>
      </c>
      <c r="K492" s="9">
        <v>60</v>
      </c>
      <c r="L492" s="7">
        <f t="shared" si="15"/>
        <v>2.668032524467014E-3</v>
      </c>
      <c r="M492" s="28">
        <v>0</v>
      </c>
      <c r="N492" s="28">
        <v>0</v>
      </c>
      <c r="O492" s="28">
        <v>1</v>
      </c>
      <c r="P492" s="27">
        <v>0</v>
      </c>
      <c r="Q492" s="29">
        <v>9</v>
      </c>
    </row>
    <row r="493" spans="1:20" x14ac:dyDescent="0.3">
      <c r="A493" s="15">
        <v>491</v>
      </c>
      <c r="B493" s="36">
        <v>1</v>
      </c>
      <c r="C493" s="5">
        <v>1</v>
      </c>
      <c r="D493" s="5">
        <v>1</v>
      </c>
      <c r="E493" s="9">
        <v>41</v>
      </c>
      <c r="F493" s="9">
        <v>4</v>
      </c>
      <c r="G493" s="9">
        <v>5.8</v>
      </c>
      <c r="H493" s="9">
        <f>CONVERT(493,"ft","m")*100</f>
        <v>15026.640000000001</v>
      </c>
      <c r="I493" s="9">
        <f t="shared" si="16"/>
        <v>150.2664</v>
      </c>
      <c r="J493" s="9">
        <f>I493*I493</f>
        <v>22579.990968960003</v>
      </c>
      <c r="K493" s="9">
        <v>60</v>
      </c>
      <c r="L493" s="7">
        <f t="shared" si="15"/>
        <v>2.6572198404543252E-3</v>
      </c>
      <c r="M493" s="19">
        <v>1</v>
      </c>
      <c r="N493" s="28">
        <v>0</v>
      </c>
      <c r="O493" s="28">
        <v>1</v>
      </c>
      <c r="P493" s="27">
        <v>0</v>
      </c>
      <c r="Q493" s="29">
        <v>9</v>
      </c>
    </row>
    <row r="494" spans="1:20" x14ac:dyDescent="0.3">
      <c r="A494" s="15">
        <v>492</v>
      </c>
      <c r="B494" s="36">
        <v>1</v>
      </c>
      <c r="C494" s="5">
        <v>1</v>
      </c>
      <c r="D494" s="5">
        <v>0</v>
      </c>
      <c r="E494" s="9">
        <v>39</v>
      </c>
      <c r="F494" s="9">
        <v>1</v>
      </c>
      <c r="G494" s="9">
        <v>5.0999999999999996</v>
      </c>
      <c r="H494" s="9">
        <f>CONVERT(494,"ft","m")*100</f>
        <v>15057.12</v>
      </c>
      <c r="I494" s="9">
        <f t="shared" si="16"/>
        <v>150.5712</v>
      </c>
      <c r="J494" s="9">
        <f>I494*I494</f>
        <v>22671.686269440001</v>
      </c>
      <c r="K494" s="9">
        <v>65</v>
      </c>
      <c r="L494" s="7">
        <f t="shared" si="15"/>
        <v>2.8670121501996916E-3</v>
      </c>
      <c r="M494" s="19">
        <v>1</v>
      </c>
      <c r="N494" s="28">
        <v>0</v>
      </c>
      <c r="O494" s="28">
        <v>1</v>
      </c>
      <c r="P494" s="27">
        <v>0</v>
      </c>
      <c r="Q494" s="29">
        <v>9</v>
      </c>
    </row>
    <row r="495" spans="1:20" x14ac:dyDescent="0.3">
      <c r="A495" s="15">
        <v>493</v>
      </c>
      <c r="B495" s="36">
        <v>1</v>
      </c>
      <c r="C495" s="5">
        <v>1</v>
      </c>
      <c r="D495" s="5">
        <v>1</v>
      </c>
      <c r="E495" s="9">
        <v>33</v>
      </c>
      <c r="F495" s="9">
        <v>1</v>
      </c>
      <c r="G495" s="9">
        <v>4.9000000000000004</v>
      </c>
      <c r="H495" s="9">
        <f>CONVERT(495,"ft","m")*100</f>
        <v>15087.6</v>
      </c>
      <c r="I495" s="9">
        <f t="shared" si="16"/>
        <v>150.876</v>
      </c>
      <c r="J495" s="9">
        <f>I495*I495</f>
        <v>22763.567376000003</v>
      </c>
      <c r="K495" s="9">
        <v>55</v>
      </c>
      <c r="L495" s="7">
        <f t="shared" si="15"/>
        <v>2.4161415076789498E-3</v>
      </c>
      <c r="M495" s="19">
        <v>1</v>
      </c>
      <c r="N495" s="28">
        <v>0</v>
      </c>
      <c r="O495" s="28">
        <v>1</v>
      </c>
      <c r="P495" s="27">
        <v>0</v>
      </c>
      <c r="Q495" s="29">
        <v>9</v>
      </c>
    </row>
    <row r="496" spans="1:20" x14ac:dyDescent="0.3">
      <c r="A496" s="15">
        <v>494</v>
      </c>
      <c r="B496" s="36">
        <v>1</v>
      </c>
      <c r="C496" s="5">
        <v>1</v>
      </c>
      <c r="D496" s="5">
        <v>0</v>
      </c>
      <c r="E496" s="9">
        <v>73</v>
      </c>
      <c r="F496" s="9">
        <v>1</v>
      </c>
      <c r="G496" s="9">
        <v>6.2</v>
      </c>
      <c r="H496" s="9">
        <f>CONVERT(496,"ft","m")*100</f>
        <v>15118.08</v>
      </c>
      <c r="I496" s="9">
        <f t="shared" si="16"/>
        <v>151.1808</v>
      </c>
      <c r="J496" s="9">
        <f>I496*I496</f>
        <v>22855.634288640002</v>
      </c>
      <c r="K496" s="9">
        <v>85</v>
      </c>
      <c r="L496" s="7">
        <f t="shared" si="15"/>
        <v>3.7189954532238813E-3</v>
      </c>
      <c r="M496" s="19">
        <v>1</v>
      </c>
      <c r="N496" s="28">
        <v>0</v>
      </c>
      <c r="O496" s="28">
        <v>1</v>
      </c>
      <c r="P496" s="27">
        <v>0</v>
      </c>
      <c r="Q496" s="29">
        <v>9</v>
      </c>
    </row>
    <row r="497" spans="1:17" x14ac:dyDescent="0.3">
      <c r="A497" s="15">
        <v>495</v>
      </c>
      <c r="B497" s="36">
        <v>1</v>
      </c>
      <c r="C497" s="5">
        <v>1</v>
      </c>
      <c r="D497" s="5">
        <v>0</v>
      </c>
      <c r="E497" s="9">
        <v>43</v>
      </c>
      <c r="F497" s="9">
        <v>1</v>
      </c>
      <c r="G497" s="9">
        <v>5.8</v>
      </c>
      <c r="H497" s="9">
        <f>CONVERT(497,"ft","m")*100</f>
        <v>15148.560000000001</v>
      </c>
      <c r="I497" s="9">
        <f t="shared" si="16"/>
        <v>151.48560000000001</v>
      </c>
      <c r="J497" s="9">
        <f>I497*I497</f>
        <v>22947.887007360001</v>
      </c>
      <c r="K497" s="9">
        <v>60</v>
      </c>
      <c r="L497" s="7">
        <f t="shared" si="15"/>
        <v>2.6146198114343337E-3</v>
      </c>
      <c r="M497" s="19">
        <v>1</v>
      </c>
      <c r="N497" s="28">
        <v>0</v>
      </c>
      <c r="O497" s="28">
        <v>1</v>
      </c>
      <c r="P497" s="27">
        <v>0</v>
      </c>
      <c r="Q497" s="29">
        <v>9</v>
      </c>
    </row>
    <row r="498" spans="1:17" x14ac:dyDescent="0.3">
      <c r="A498" s="15">
        <v>496</v>
      </c>
      <c r="B498" s="36">
        <v>1</v>
      </c>
      <c r="C498" s="5">
        <v>1</v>
      </c>
      <c r="D498" s="5">
        <v>1</v>
      </c>
      <c r="E498" s="9">
        <v>64</v>
      </c>
      <c r="F498" s="9">
        <v>8</v>
      </c>
      <c r="G498" s="9">
        <v>6</v>
      </c>
      <c r="H498" s="9">
        <f>CONVERT(498,"ft","m")*100</f>
        <v>15179.04</v>
      </c>
      <c r="I498" s="9">
        <f t="shared" si="16"/>
        <v>151.79040000000001</v>
      </c>
      <c r="J498" s="9">
        <f>I498*I498</f>
        <v>23040.325532160001</v>
      </c>
      <c r="K498" s="9">
        <v>50</v>
      </c>
      <c r="L498" s="7">
        <f t="shared" si="15"/>
        <v>2.1701082274297435E-3</v>
      </c>
      <c r="M498" s="19">
        <v>1</v>
      </c>
      <c r="N498" s="28">
        <v>0</v>
      </c>
      <c r="O498" s="28">
        <v>1</v>
      </c>
      <c r="P498" s="27">
        <v>0</v>
      </c>
      <c r="Q498" s="29">
        <v>9</v>
      </c>
    </row>
    <row r="499" spans="1:17" x14ac:dyDescent="0.3">
      <c r="A499" s="15">
        <v>497</v>
      </c>
      <c r="B499" s="36">
        <v>1</v>
      </c>
      <c r="C499" s="5">
        <v>1</v>
      </c>
      <c r="D499" s="5">
        <v>0</v>
      </c>
      <c r="E499" s="9">
        <v>35</v>
      </c>
      <c r="F499" s="9">
        <v>12</v>
      </c>
      <c r="G499" s="9">
        <v>5.0999999999999996</v>
      </c>
      <c r="H499" s="9">
        <f>CONVERT(499,"ft","m")*100</f>
        <v>15209.52</v>
      </c>
      <c r="I499" s="9">
        <f t="shared" si="16"/>
        <v>152.09520000000001</v>
      </c>
      <c r="J499" s="9">
        <f>I499*I499</f>
        <v>23132.949863040001</v>
      </c>
      <c r="K499" s="9">
        <v>55</v>
      </c>
      <c r="L499" s="7">
        <f t="shared" si="15"/>
        <v>2.3775610255341731E-3</v>
      </c>
      <c r="M499" s="19">
        <v>1</v>
      </c>
      <c r="N499" s="28">
        <v>0</v>
      </c>
      <c r="O499" s="28">
        <v>1</v>
      </c>
      <c r="P499" s="27">
        <v>0</v>
      </c>
      <c r="Q499" s="29">
        <v>9</v>
      </c>
    </row>
    <row r="500" spans="1:17" x14ac:dyDescent="0.3">
      <c r="A500" s="15">
        <v>498</v>
      </c>
      <c r="B500" s="36">
        <v>1</v>
      </c>
      <c r="C500" s="5">
        <v>1</v>
      </c>
      <c r="D500" s="5">
        <v>0</v>
      </c>
      <c r="E500" s="9">
        <v>62</v>
      </c>
      <c r="F500" s="9">
        <v>4</v>
      </c>
      <c r="G500" s="9">
        <v>6</v>
      </c>
      <c r="H500" s="9">
        <f>CONVERT(500,"ft","m")*100</f>
        <v>15240</v>
      </c>
      <c r="I500" s="9">
        <f t="shared" si="16"/>
        <v>152.4</v>
      </c>
      <c r="J500" s="9">
        <f>I500*I500</f>
        <v>23225.760000000002</v>
      </c>
      <c r="K500" s="9">
        <v>50</v>
      </c>
      <c r="L500" s="7">
        <f t="shared" si="15"/>
        <v>2.1527820833419442E-3</v>
      </c>
      <c r="M500" s="19">
        <v>1</v>
      </c>
      <c r="N500" s="28">
        <v>0</v>
      </c>
      <c r="O500" s="28">
        <v>1</v>
      </c>
      <c r="P500" s="27">
        <v>0</v>
      </c>
      <c r="Q500" s="29">
        <v>9</v>
      </c>
    </row>
    <row r="501" spans="1:17" x14ac:dyDescent="0.3">
      <c r="A501" s="15">
        <v>499</v>
      </c>
      <c r="B501" s="36">
        <v>1</v>
      </c>
      <c r="C501" s="5">
        <v>1</v>
      </c>
      <c r="D501" s="5">
        <v>0</v>
      </c>
      <c r="E501" s="9">
        <v>46</v>
      </c>
      <c r="F501" s="9">
        <v>1</v>
      </c>
      <c r="G501" s="9">
        <v>5.3</v>
      </c>
      <c r="H501" s="9">
        <f>CONVERT(501,"ft","m")*100</f>
        <v>15270.480000000001</v>
      </c>
      <c r="I501" s="9">
        <f t="shared" si="16"/>
        <v>152.70480000000001</v>
      </c>
      <c r="J501" s="9">
        <f>I501*I501</f>
        <v>23318.755943040003</v>
      </c>
      <c r="K501" s="9">
        <v>50</v>
      </c>
      <c r="L501" s="7">
        <f t="shared" si="15"/>
        <v>2.1441967196763599E-3</v>
      </c>
      <c r="M501" s="19">
        <v>1</v>
      </c>
      <c r="N501" s="28">
        <v>0</v>
      </c>
      <c r="O501" s="28">
        <v>1</v>
      </c>
      <c r="P501" s="27">
        <v>0</v>
      </c>
      <c r="Q501" s="29">
        <v>9</v>
      </c>
    </row>
    <row r="502" spans="1:17" x14ac:dyDescent="0.3">
      <c r="A502" s="15">
        <v>500</v>
      </c>
      <c r="B502" s="36">
        <v>1</v>
      </c>
      <c r="C502" s="5">
        <v>1</v>
      </c>
      <c r="D502" s="5">
        <v>0</v>
      </c>
      <c r="E502" s="9">
        <v>73</v>
      </c>
      <c r="F502" s="9">
        <v>11</v>
      </c>
      <c r="G502" s="9">
        <v>6.4</v>
      </c>
      <c r="H502" s="9">
        <f>CONVERT(502,"ft","m")*100</f>
        <v>15300.960000000001</v>
      </c>
      <c r="I502" s="9">
        <f t="shared" si="16"/>
        <v>153.00960000000001</v>
      </c>
      <c r="J502" s="9">
        <f>I502*I502</f>
        <v>23411.937692160001</v>
      </c>
      <c r="K502" s="9">
        <v>60</v>
      </c>
      <c r="L502" s="7">
        <f t="shared" si="15"/>
        <v>2.5627951342144699E-3</v>
      </c>
      <c r="M502" s="19">
        <v>1</v>
      </c>
      <c r="N502" s="28">
        <v>0</v>
      </c>
      <c r="O502" s="28">
        <v>1</v>
      </c>
      <c r="P502" s="27">
        <v>0</v>
      </c>
      <c r="Q502" s="29">
        <v>10</v>
      </c>
    </row>
    <row r="503" spans="1:17" x14ac:dyDescent="0.3">
      <c r="A503" s="15">
        <v>501</v>
      </c>
      <c r="B503" s="36">
        <v>1</v>
      </c>
      <c r="C503" s="5">
        <v>1</v>
      </c>
      <c r="D503" s="5">
        <v>1</v>
      </c>
      <c r="E503" s="9">
        <v>50</v>
      </c>
      <c r="F503" s="9">
        <v>1</v>
      </c>
      <c r="G503" s="9">
        <v>5.7</v>
      </c>
      <c r="H503" s="9">
        <f>CONVERT(503,"ft","m")*100</f>
        <v>15331.44</v>
      </c>
      <c r="I503" s="9">
        <f t="shared" si="16"/>
        <v>153.31440000000001</v>
      </c>
      <c r="J503" s="9">
        <f>I503*I503</f>
        <v>23505.305247360004</v>
      </c>
      <c r="K503" s="9">
        <v>63</v>
      </c>
      <c r="L503" s="7">
        <f t="shared" si="15"/>
        <v>2.6802459843432939E-3</v>
      </c>
      <c r="M503" s="19">
        <v>1</v>
      </c>
      <c r="N503" s="28">
        <v>0</v>
      </c>
      <c r="O503" s="28">
        <v>1</v>
      </c>
      <c r="P503" s="28">
        <v>1</v>
      </c>
      <c r="Q503" s="29">
        <v>9</v>
      </c>
    </row>
    <row r="504" spans="1:17" x14ac:dyDescent="0.3">
      <c r="A504" s="15">
        <v>502</v>
      </c>
      <c r="B504" s="36">
        <v>1</v>
      </c>
      <c r="C504" s="5">
        <v>1</v>
      </c>
      <c r="D504" s="5">
        <v>1</v>
      </c>
      <c r="E504" s="9">
        <v>43</v>
      </c>
      <c r="F504" s="9" t="s">
        <v>7</v>
      </c>
      <c r="G504" s="9">
        <v>5.4</v>
      </c>
      <c r="H504" s="9">
        <f>CONVERT(504,"ft","m")*100</f>
        <v>15361.92</v>
      </c>
      <c r="I504" s="9">
        <f t="shared" si="16"/>
        <v>153.61920000000001</v>
      </c>
      <c r="J504" s="9">
        <f>I504*I504</f>
        <v>23598.858608640003</v>
      </c>
      <c r="K504" s="9">
        <v>60</v>
      </c>
      <c r="L504" s="7">
        <f t="shared" si="15"/>
        <v>2.5424958467284865E-3</v>
      </c>
      <c r="M504" s="19">
        <v>1</v>
      </c>
      <c r="N504" s="28">
        <v>0</v>
      </c>
      <c r="O504" s="28">
        <v>1</v>
      </c>
      <c r="P504" s="28">
        <v>1</v>
      </c>
      <c r="Q504" s="29">
        <v>8.8000000000000007</v>
      </c>
    </row>
    <row r="505" spans="1:17" x14ac:dyDescent="0.3">
      <c r="A505" s="15">
        <v>503</v>
      </c>
      <c r="B505" s="36">
        <v>1</v>
      </c>
      <c r="C505" s="5">
        <v>1</v>
      </c>
      <c r="D505" s="5">
        <v>0</v>
      </c>
      <c r="E505" s="9">
        <v>52</v>
      </c>
      <c r="F505" s="9">
        <v>15</v>
      </c>
      <c r="G505" s="9">
        <v>5.9</v>
      </c>
      <c r="H505" s="9">
        <f>CONVERT(505,"ft","m")*100</f>
        <v>15392.400000000001</v>
      </c>
      <c r="I505" s="9">
        <f t="shared" si="16"/>
        <v>153.92400000000001</v>
      </c>
      <c r="J505" s="9">
        <f>I505*I505</f>
        <v>23692.597776000002</v>
      </c>
      <c r="K505" s="9">
        <v>65</v>
      </c>
      <c r="L505" s="7">
        <f t="shared" si="15"/>
        <v>2.7434729029943415E-3</v>
      </c>
      <c r="M505" s="19">
        <v>1</v>
      </c>
      <c r="N505" s="28">
        <v>0</v>
      </c>
      <c r="O505" s="28">
        <v>1</v>
      </c>
      <c r="P505" s="28">
        <v>1</v>
      </c>
      <c r="Q505" s="29">
        <v>8</v>
      </c>
    </row>
    <row r="506" spans="1:17" x14ac:dyDescent="0.3">
      <c r="A506" s="15">
        <v>504</v>
      </c>
      <c r="B506" s="36">
        <v>1</v>
      </c>
      <c r="C506" s="5">
        <v>1</v>
      </c>
      <c r="D506" s="5">
        <v>0</v>
      </c>
      <c r="E506" s="9">
        <v>61</v>
      </c>
      <c r="F506" s="9">
        <v>1</v>
      </c>
      <c r="G506" s="9">
        <v>6.1</v>
      </c>
      <c r="H506" s="9">
        <f>CONVERT(506,"ft","m")*100</f>
        <v>15422.880000000001</v>
      </c>
      <c r="I506" s="9">
        <f t="shared" si="16"/>
        <v>154.22880000000001</v>
      </c>
      <c r="J506" s="9">
        <f>I506*I506</f>
        <v>23786.522749440002</v>
      </c>
      <c r="K506" s="9">
        <v>70</v>
      </c>
      <c r="L506" s="7">
        <f t="shared" si="15"/>
        <v>2.9428429172838211E-3</v>
      </c>
      <c r="M506" s="19">
        <v>1</v>
      </c>
      <c r="N506" s="28">
        <v>0</v>
      </c>
      <c r="O506" s="28">
        <v>1</v>
      </c>
      <c r="P506" s="28">
        <v>1</v>
      </c>
      <c r="Q506" s="29">
        <v>9</v>
      </c>
    </row>
    <row r="507" spans="1:17" x14ac:dyDescent="0.3">
      <c r="A507" s="15">
        <v>505</v>
      </c>
      <c r="B507" s="36">
        <v>1</v>
      </c>
      <c r="C507" s="5">
        <v>1</v>
      </c>
      <c r="D507" s="5">
        <v>1</v>
      </c>
      <c r="E507" s="9">
        <v>22</v>
      </c>
      <c r="F507" s="9">
        <v>8</v>
      </c>
      <c r="G507" s="9">
        <v>5.2</v>
      </c>
      <c r="H507" s="9">
        <f>CONVERT(507,"ft","m")*100</f>
        <v>15453.36</v>
      </c>
      <c r="I507" s="9">
        <f t="shared" si="16"/>
        <v>154.53360000000001</v>
      </c>
      <c r="J507" s="9">
        <f>I507*I507</f>
        <v>23880.633528960003</v>
      </c>
      <c r="K507" s="9">
        <v>50</v>
      </c>
      <c r="L507" s="7">
        <f t="shared" si="15"/>
        <v>2.0937467986083822E-3</v>
      </c>
      <c r="M507" s="28">
        <v>0</v>
      </c>
      <c r="N507" s="28">
        <v>0</v>
      </c>
      <c r="O507" s="28">
        <v>1</v>
      </c>
      <c r="P507" s="28">
        <v>1</v>
      </c>
      <c r="Q507" s="29">
        <v>7</v>
      </c>
    </row>
    <row r="508" spans="1:17" x14ac:dyDescent="0.3">
      <c r="A508" s="15">
        <v>506</v>
      </c>
      <c r="B508" s="36">
        <v>1</v>
      </c>
      <c r="C508" s="5">
        <v>1</v>
      </c>
      <c r="D508" s="5">
        <v>1</v>
      </c>
      <c r="E508" s="9">
        <v>38</v>
      </c>
      <c r="F508" s="9">
        <v>1</v>
      </c>
      <c r="G508" s="9">
        <v>4.3</v>
      </c>
      <c r="H508" s="9">
        <f>CONVERT(508,"ft","m")*100</f>
        <v>15483.84</v>
      </c>
      <c r="I508" s="9">
        <f t="shared" si="16"/>
        <v>154.83840000000001</v>
      </c>
      <c r="J508" s="9">
        <f>I508*I508</f>
        <v>23974.930114560004</v>
      </c>
      <c r="K508" s="9">
        <v>55</v>
      </c>
      <c r="L508" s="7">
        <f t="shared" si="15"/>
        <v>2.2940629956872505E-3</v>
      </c>
      <c r="M508" s="28">
        <v>0</v>
      </c>
      <c r="N508" s="28">
        <v>0</v>
      </c>
      <c r="O508" s="28">
        <v>1</v>
      </c>
      <c r="P508" s="28">
        <v>1</v>
      </c>
      <c r="Q508" s="29">
        <v>8</v>
      </c>
    </row>
    <row r="509" spans="1:17" x14ac:dyDescent="0.3">
      <c r="A509" s="15">
        <v>507</v>
      </c>
      <c r="B509" s="36">
        <v>1</v>
      </c>
      <c r="C509" s="5">
        <v>1</v>
      </c>
      <c r="D509" s="5">
        <v>0</v>
      </c>
      <c r="E509" s="9">
        <v>41</v>
      </c>
      <c r="F509" s="9">
        <v>1</v>
      </c>
      <c r="G509" s="9">
        <v>5.0999999999999996</v>
      </c>
      <c r="H509" s="9">
        <f>CONVERT(509,"ft","m")*100</f>
        <v>15514.320000000002</v>
      </c>
      <c r="I509" s="9">
        <f t="shared" si="16"/>
        <v>155.14320000000001</v>
      </c>
      <c r="J509" s="9">
        <f>I509*I509</f>
        <v>24069.412506240002</v>
      </c>
      <c r="K509" s="9">
        <v>50</v>
      </c>
      <c r="L509" s="7">
        <f t="shared" si="15"/>
        <v>2.0773253184737054E-3</v>
      </c>
      <c r="M509" s="28">
        <v>0</v>
      </c>
      <c r="N509" s="28">
        <v>0</v>
      </c>
      <c r="O509" s="28">
        <v>1</v>
      </c>
      <c r="P509" s="28">
        <v>1</v>
      </c>
      <c r="Q509" s="29">
        <v>9</v>
      </c>
    </row>
    <row r="510" spans="1:17" x14ac:dyDescent="0.3">
      <c r="A510" s="15">
        <v>508</v>
      </c>
      <c r="B510" s="36">
        <v>1</v>
      </c>
      <c r="C510" s="5">
        <v>0</v>
      </c>
      <c r="D510" s="5">
        <v>0</v>
      </c>
      <c r="E510" s="9">
        <v>54</v>
      </c>
      <c r="F510" s="9">
        <v>1</v>
      </c>
      <c r="G510" s="9">
        <v>5.6</v>
      </c>
      <c r="H510" s="9">
        <f>CONVERT(510,"ft","m")*100</f>
        <v>15544.800000000001</v>
      </c>
      <c r="I510" s="9">
        <f t="shared" si="16"/>
        <v>155.44800000000001</v>
      </c>
      <c r="J510" s="9">
        <f>I510*I510</f>
        <v>24164.080704000004</v>
      </c>
      <c r="K510" s="9">
        <v>60</v>
      </c>
      <c r="L510" s="7">
        <f t="shared" si="15"/>
        <v>2.4830243175800971E-3</v>
      </c>
      <c r="M510" s="28">
        <v>0</v>
      </c>
      <c r="N510" s="28">
        <v>0</v>
      </c>
      <c r="O510" s="28">
        <v>1</v>
      </c>
      <c r="P510" s="28">
        <v>1</v>
      </c>
      <c r="Q510" s="29">
        <v>10</v>
      </c>
    </row>
    <row r="511" spans="1:17" x14ac:dyDescent="0.3">
      <c r="A511" s="15">
        <v>509</v>
      </c>
      <c r="B511" s="36">
        <v>1</v>
      </c>
      <c r="C511" s="5">
        <v>0</v>
      </c>
      <c r="D511" s="5">
        <v>1</v>
      </c>
      <c r="E511" s="9">
        <v>30</v>
      </c>
      <c r="F511" s="9">
        <v>1</v>
      </c>
      <c r="G511" s="9">
        <v>4.5999999999999996</v>
      </c>
      <c r="H511" s="9">
        <f>CONVERT(511,"ft","m")*100</f>
        <v>15575.28</v>
      </c>
      <c r="I511" s="9">
        <f t="shared" si="16"/>
        <v>155.75280000000001</v>
      </c>
      <c r="J511" s="9">
        <f>I511*I511</f>
        <v>24258.934707840002</v>
      </c>
      <c r="K511" s="9">
        <v>55</v>
      </c>
      <c r="L511" s="7">
        <f t="shared" si="15"/>
        <v>2.2672059042322702E-3</v>
      </c>
      <c r="M511" s="28">
        <v>0</v>
      </c>
      <c r="N511" s="28">
        <v>0</v>
      </c>
      <c r="O511" s="28">
        <v>1</v>
      </c>
      <c r="P511" s="28">
        <v>1</v>
      </c>
      <c r="Q511" s="29">
        <v>11</v>
      </c>
    </row>
    <row r="512" spans="1:17" x14ac:dyDescent="0.3">
      <c r="A512" s="15">
        <v>510</v>
      </c>
      <c r="B512" s="36">
        <v>1</v>
      </c>
      <c r="C512" s="5">
        <v>0</v>
      </c>
      <c r="D512" s="5">
        <v>0</v>
      </c>
      <c r="E512" s="9">
        <v>41</v>
      </c>
      <c r="F512" s="9">
        <v>1</v>
      </c>
      <c r="G512" s="9">
        <v>4.3</v>
      </c>
      <c r="H512" s="9">
        <f>CONVERT(512,"ft","m")*100</f>
        <v>15605.76</v>
      </c>
      <c r="I512" s="9">
        <f t="shared" si="16"/>
        <v>156.05760000000001</v>
      </c>
      <c r="J512" s="9">
        <f>I512*I512</f>
        <v>24353.974517760002</v>
      </c>
      <c r="K512" s="9">
        <v>50</v>
      </c>
      <c r="L512" s="7">
        <f t="shared" si="15"/>
        <v>2.0530529817027513E-3</v>
      </c>
      <c r="M512" s="28">
        <v>0</v>
      </c>
      <c r="N512" s="28">
        <v>0</v>
      </c>
      <c r="O512" s="28">
        <v>1</v>
      </c>
      <c r="P512" s="28">
        <v>1</v>
      </c>
      <c r="Q512" s="29">
        <v>12</v>
      </c>
    </row>
    <row r="513" spans="1:17" x14ac:dyDescent="0.3">
      <c r="A513" s="15">
        <v>511</v>
      </c>
      <c r="B513" s="36">
        <v>1</v>
      </c>
      <c r="C513" s="5">
        <v>0</v>
      </c>
      <c r="D513" s="5">
        <v>1</v>
      </c>
      <c r="E513" s="9">
        <v>26</v>
      </c>
      <c r="F513" s="9">
        <v>1</v>
      </c>
      <c r="G513" s="9">
        <v>4.5999999999999996</v>
      </c>
      <c r="H513" s="9">
        <f>CONVERT(513,"ft","m")*100</f>
        <v>15636.240000000002</v>
      </c>
      <c r="I513" s="9">
        <f t="shared" si="16"/>
        <v>156.36240000000001</v>
      </c>
      <c r="J513" s="9">
        <f>I513*I513</f>
        <v>24449.200133760001</v>
      </c>
      <c r="K513" s="9">
        <v>60</v>
      </c>
      <c r="L513" s="7">
        <f t="shared" si="15"/>
        <v>2.4540680133396538E-3</v>
      </c>
      <c r="M513" s="28">
        <v>0</v>
      </c>
      <c r="N513" s="28">
        <v>0</v>
      </c>
      <c r="O513" s="28">
        <v>1</v>
      </c>
      <c r="P513" s="28">
        <v>1</v>
      </c>
      <c r="Q513" s="29">
        <v>13</v>
      </c>
    </row>
    <row r="514" spans="1:17" x14ac:dyDescent="0.3">
      <c r="A514" s="15">
        <v>512</v>
      </c>
      <c r="B514" s="36">
        <v>1</v>
      </c>
      <c r="C514" s="5">
        <v>0</v>
      </c>
      <c r="D514" s="5">
        <v>0</v>
      </c>
      <c r="E514" s="9">
        <v>29</v>
      </c>
      <c r="F514" s="9">
        <v>1</v>
      </c>
      <c r="G514" s="9">
        <v>4.3</v>
      </c>
      <c r="H514" s="9">
        <f>CONVERT(514,"ft","m")*100</f>
        <v>15666.720000000001</v>
      </c>
      <c r="I514" s="9">
        <f t="shared" si="16"/>
        <v>156.66720000000001</v>
      </c>
      <c r="J514" s="9">
        <f>I514*I514</f>
        <v>24544.611555840002</v>
      </c>
      <c r="K514" s="9">
        <v>50</v>
      </c>
      <c r="L514" s="7">
        <f t="shared" ref="L514:L577" si="17">K514/J514</f>
        <v>2.0371069994832855E-3</v>
      </c>
      <c r="M514" s="28">
        <v>0</v>
      </c>
      <c r="N514" s="28">
        <v>0</v>
      </c>
      <c r="O514" s="28">
        <v>1</v>
      </c>
      <c r="P514" s="28">
        <v>1</v>
      </c>
      <c r="Q514" s="29">
        <v>14</v>
      </c>
    </row>
    <row r="515" spans="1:17" x14ac:dyDescent="0.3">
      <c r="A515" s="15">
        <v>513</v>
      </c>
      <c r="B515" s="36">
        <v>1</v>
      </c>
      <c r="C515" s="5">
        <v>1</v>
      </c>
      <c r="D515" s="5">
        <v>0</v>
      </c>
      <c r="E515" s="9">
        <v>22</v>
      </c>
      <c r="F515" s="9">
        <v>1</v>
      </c>
      <c r="G515" s="9">
        <v>4.4000000000000004</v>
      </c>
      <c r="H515" s="9">
        <f>CONVERT(515,"ft","m")*100</f>
        <v>15697.2</v>
      </c>
      <c r="I515" s="9">
        <f t="shared" si="16"/>
        <v>156.97200000000001</v>
      </c>
      <c r="J515" s="9">
        <f>I515*I515</f>
        <v>24640.208784000002</v>
      </c>
      <c r="K515" s="9">
        <v>55</v>
      </c>
      <c r="L515" s="7">
        <f t="shared" si="17"/>
        <v>2.2321239435160135E-3</v>
      </c>
      <c r="M515" s="28">
        <v>0</v>
      </c>
      <c r="N515" s="28">
        <v>0</v>
      </c>
      <c r="O515" s="28">
        <v>0</v>
      </c>
      <c r="P515" s="28">
        <v>1</v>
      </c>
      <c r="Q515" s="29">
        <v>10</v>
      </c>
    </row>
    <row r="516" spans="1:17" x14ac:dyDescent="0.3">
      <c r="A516" s="15">
        <v>514</v>
      </c>
      <c r="B516" s="36">
        <v>1</v>
      </c>
      <c r="C516" s="5">
        <v>1</v>
      </c>
      <c r="D516" s="5">
        <v>1</v>
      </c>
      <c r="E516" s="9">
        <v>36</v>
      </c>
      <c r="F516" s="9">
        <v>4</v>
      </c>
      <c r="G516" s="9">
        <v>5.6</v>
      </c>
      <c r="H516" s="9">
        <f>CONVERT(516,"ft","m")*100</f>
        <v>15727.68</v>
      </c>
      <c r="I516" s="9">
        <f t="shared" si="16"/>
        <v>157.27680000000001</v>
      </c>
      <c r="J516" s="9">
        <f>I516*I516</f>
        <v>24735.991818240003</v>
      </c>
      <c r="K516" s="9">
        <v>50</v>
      </c>
      <c r="L516" s="7">
        <f t="shared" si="17"/>
        <v>2.0213460760902515E-3</v>
      </c>
      <c r="M516" s="28">
        <v>0</v>
      </c>
      <c r="N516" s="28">
        <v>0</v>
      </c>
      <c r="O516" s="28">
        <v>0</v>
      </c>
      <c r="P516" s="28">
        <v>1</v>
      </c>
      <c r="Q516" s="29">
        <v>10</v>
      </c>
    </row>
    <row r="517" spans="1:17" x14ac:dyDescent="0.3">
      <c r="A517" s="15">
        <v>515</v>
      </c>
      <c r="B517" s="36">
        <v>1</v>
      </c>
      <c r="C517" s="5">
        <v>1</v>
      </c>
      <c r="D517" s="5">
        <v>1</v>
      </c>
      <c r="E517" s="9">
        <v>38</v>
      </c>
      <c r="F517" s="9">
        <v>23</v>
      </c>
      <c r="G517" s="9">
        <v>5.3</v>
      </c>
      <c r="H517" s="9">
        <f>CONVERT(517,"ft","m")*100</f>
        <v>15758.160000000002</v>
      </c>
      <c r="I517" s="9">
        <f t="shared" si="16"/>
        <v>157.58160000000001</v>
      </c>
      <c r="J517" s="9">
        <f>I517*I517</f>
        <v>24831.960658560001</v>
      </c>
      <c r="K517" s="9">
        <v>50</v>
      </c>
      <c r="L517" s="7">
        <f t="shared" si="17"/>
        <v>2.0135341178854575E-3</v>
      </c>
      <c r="M517" s="28">
        <v>0</v>
      </c>
      <c r="N517" s="28">
        <v>0</v>
      </c>
      <c r="O517" s="28">
        <v>1</v>
      </c>
      <c r="P517" s="28">
        <v>1</v>
      </c>
      <c r="Q517" s="29">
        <v>10</v>
      </c>
    </row>
    <row r="518" spans="1:17" x14ac:dyDescent="0.3">
      <c r="A518" s="15">
        <v>516</v>
      </c>
      <c r="B518" s="36">
        <v>1</v>
      </c>
      <c r="C518" s="5">
        <v>1</v>
      </c>
      <c r="D518" s="5">
        <v>0</v>
      </c>
      <c r="E518" s="9">
        <v>36</v>
      </c>
      <c r="F518" s="9">
        <v>21</v>
      </c>
      <c r="G518" s="9">
        <v>5.2</v>
      </c>
      <c r="H518" s="9">
        <f>CONVERT(518,"ft","m")*100</f>
        <v>15788.640000000001</v>
      </c>
      <c r="I518" s="9">
        <f t="shared" si="16"/>
        <v>157.88640000000001</v>
      </c>
      <c r="J518" s="9">
        <f>I518*I518</f>
        <v>24928.115304960003</v>
      </c>
      <c r="K518" s="9">
        <v>55</v>
      </c>
      <c r="L518" s="7">
        <f t="shared" si="17"/>
        <v>2.2063440948965974E-3</v>
      </c>
      <c r="M518" s="28">
        <v>0</v>
      </c>
      <c r="N518" s="28">
        <v>0</v>
      </c>
      <c r="O518" s="28">
        <v>1</v>
      </c>
      <c r="P518" s="28">
        <v>0</v>
      </c>
      <c r="Q518" s="29">
        <v>10</v>
      </c>
    </row>
    <row r="519" spans="1:17" x14ac:dyDescent="0.3">
      <c r="A519" s="15">
        <v>517</v>
      </c>
      <c r="B519" s="36">
        <v>1</v>
      </c>
      <c r="C519" s="5">
        <v>1</v>
      </c>
      <c r="D519" s="5">
        <v>1</v>
      </c>
      <c r="E519" s="9">
        <v>19</v>
      </c>
      <c r="F519" s="9">
        <v>5</v>
      </c>
      <c r="G519" s="9">
        <v>4.2</v>
      </c>
      <c r="H519" s="9">
        <f>CONVERT(519,"ft","m")*100</f>
        <v>15819.12</v>
      </c>
      <c r="I519" s="9">
        <f t="shared" si="16"/>
        <v>158.19120000000001</v>
      </c>
      <c r="J519" s="9">
        <f>I519*I519</f>
        <v>25024.455757440002</v>
      </c>
      <c r="K519" s="9">
        <v>35</v>
      </c>
      <c r="L519" s="7">
        <f t="shared" si="17"/>
        <v>1.3986318159824186E-3</v>
      </c>
      <c r="M519" s="28">
        <v>0</v>
      </c>
      <c r="N519" s="28">
        <v>0</v>
      </c>
      <c r="O519" s="28">
        <v>1</v>
      </c>
      <c r="P519" s="28">
        <v>1</v>
      </c>
      <c r="Q519" s="29">
        <v>8</v>
      </c>
    </row>
    <row r="520" spans="1:17" x14ac:dyDescent="0.3">
      <c r="A520" s="15">
        <v>518</v>
      </c>
      <c r="B520" s="36">
        <v>1</v>
      </c>
      <c r="C520" s="5">
        <v>1</v>
      </c>
      <c r="D520" s="5">
        <v>1</v>
      </c>
      <c r="E520" s="9">
        <v>28</v>
      </c>
      <c r="F520" s="9">
        <v>11</v>
      </c>
      <c r="G520" s="9">
        <v>5.0999999999999996</v>
      </c>
      <c r="H520" s="9">
        <f>CONVERT(520,"ft","m")*100</f>
        <v>15849.6</v>
      </c>
      <c r="I520" s="9">
        <f t="shared" si="16"/>
        <v>158.49600000000001</v>
      </c>
      <c r="J520" s="9">
        <f>I520*I520</f>
        <v>25120.982016000002</v>
      </c>
      <c r="K520" s="9">
        <v>40</v>
      </c>
      <c r="L520" s="7">
        <f t="shared" si="17"/>
        <v>1.5922944403416748E-3</v>
      </c>
      <c r="M520" s="28">
        <v>0</v>
      </c>
      <c r="N520" s="28">
        <v>0</v>
      </c>
      <c r="O520" s="28">
        <v>0</v>
      </c>
      <c r="P520" s="28">
        <v>1</v>
      </c>
      <c r="Q520" s="29">
        <v>8.5</v>
      </c>
    </row>
    <row r="521" spans="1:17" x14ac:dyDescent="0.3">
      <c r="A521" s="15">
        <v>519</v>
      </c>
      <c r="B521" s="36">
        <v>1</v>
      </c>
      <c r="C521" s="5">
        <v>1</v>
      </c>
      <c r="D521" s="5">
        <v>0</v>
      </c>
      <c r="E521" s="9">
        <v>29</v>
      </c>
      <c r="F521" s="9">
        <v>1</v>
      </c>
      <c r="G521" s="9">
        <v>4.4000000000000004</v>
      </c>
      <c r="H521" s="9">
        <f>CONVERT(521,"ft","m")*100</f>
        <v>15880.080000000002</v>
      </c>
      <c r="I521" s="9">
        <f t="shared" si="16"/>
        <v>158.80080000000001</v>
      </c>
      <c r="J521" s="9">
        <f>I521*I521</f>
        <v>25217.694080640002</v>
      </c>
      <c r="K521" s="9">
        <v>45</v>
      </c>
      <c r="L521" s="7">
        <f t="shared" si="17"/>
        <v>1.7844613332250378E-3</v>
      </c>
      <c r="M521" s="28">
        <v>0</v>
      </c>
      <c r="N521" s="28">
        <v>0</v>
      </c>
      <c r="O521" s="28">
        <v>0</v>
      </c>
      <c r="P521" s="28">
        <v>1</v>
      </c>
      <c r="Q521" s="29">
        <v>9</v>
      </c>
    </row>
    <row r="522" spans="1:17" x14ac:dyDescent="0.3">
      <c r="A522" s="15">
        <v>520</v>
      </c>
      <c r="B522" s="36">
        <v>1</v>
      </c>
      <c r="C522" s="5">
        <v>1</v>
      </c>
      <c r="D522" s="5">
        <v>1</v>
      </c>
      <c r="E522" s="9">
        <v>31</v>
      </c>
      <c r="F522" s="9">
        <v>12</v>
      </c>
      <c r="G522" s="9">
        <v>5.0999999999999996</v>
      </c>
      <c r="H522" s="9">
        <f>CONVERT(522,"ft","m")*100</f>
        <v>15910.560000000001</v>
      </c>
      <c r="I522" s="9">
        <f t="shared" si="16"/>
        <v>159.10560000000001</v>
      </c>
      <c r="J522" s="9">
        <f>I522*I522</f>
        <v>25314.591951360002</v>
      </c>
      <c r="K522" s="9">
        <v>50</v>
      </c>
      <c r="L522" s="7">
        <f t="shared" si="17"/>
        <v>1.9751454060990227E-3</v>
      </c>
      <c r="M522" s="28">
        <v>0</v>
      </c>
      <c r="N522" s="28">
        <v>0</v>
      </c>
      <c r="O522" s="28">
        <v>0</v>
      </c>
      <c r="P522" s="28">
        <v>1</v>
      </c>
      <c r="Q522" s="29">
        <v>9</v>
      </c>
    </row>
    <row r="523" spans="1:17" x14ac:dyDescent="0.3">
      <c r="A523" s="15">
        <v>521</v>
      </c>
      <c r="B523" s="36">
        <v>1</v>
      </c>
      <c r="C523" s="5">
        <v>1</v>
      </c>
      <c r="D523" s="5">
        <v>0</v>
      </c>
      <c r="E523" s="9">
        <v>45</v>
      </c>
      <c r="F523" s="9">
        <v>8</v>
      </c>
      <c r="G523" s="9">
        <v>5.3</v>
      </c>
      <c r="H523" s="9">
        <f>CONVERT(523,"ft","m")*100</f>
        <v>15941.04</v>
      </c>
      <c r="I523" s="9">
        <f t="shared" si="16"/>
        <v>159.41040000000001</v>
      </c>
      <c r="J523" s="9">
        <f>I523*I523</f>
        <v>25411.675628160003</v>
      </c>
      <c r="K523" s="9">
        <v>60</v>
      </c>
      <c r="L523" s="7">
        <f t="shared" si="17"/>
        <v>2.3611193877160494E-3</v>
      </c>
      <c r="M523" s="28">
        <v>0</v>
      </c>
      <c r="N523" s="28">
        <v>0</v>
      </c>
      <c r="O523" s="28">
        <v>1</v>
      </c>
      <c r="P523" s="28">
        <v>1</v>
      </c>
      <c r="Q523" s="29">
        <v>9</v>
      </c>
    </row>
    <row r="524" spans="1:17" x14ac:dyDescent="0.3">
      <c r="A524" s="15">
        <v>522</v>
      </c>
      <c r="B524" s="36">
        <v>1</v>
      </c>
      <c r="C524" s="5">
        <v>1</v>
      </c>
      <c r="D524" s="5">
        <v>1</v>
      </c>
      <c r="E524" s="9">
        <v>32</v>
      </c>
      <c r="F524" s="9">
        <v>1</v>
      </c>
      <c r="G524" s="9">
        <v>5.2</v>
      </c>
      <c r="H524" s="9">
        <f>CONVERT(524,"ft","m")*100</f>
        <v>15971.52</v>
      </c>
      <c r="I524" s="9">
        <f t="shared" si="16"/>
        <v>159.71520000000001</v>
      </c>
      <c r="J524" s="9">
        <f>I524*I524</f>
        <v>25508.945111040004</v>
      </c>
      <c r="K524" s="9">
        <v>55</v>
      </c>
      <c r="L524" s="7">
        <f t="shared" si="17"/>
        <v>2.1561064074028125E-3</v>
      </c>
      <c r="M524" s="28">
        <v>0</v>
      </c>
      <c r="N524" s="28">
        <v>0</v>
      </c>
      <c r="O524" s="28">
        <v>1</v>
      </c>
      <c r="P524" s="28">
        <v>1</v>
      </c>
      <c r="Q524" s="29">
        <v>9</v>
      </c>
    </row>
    <row r="525" spans="1:17" x14ac:dyDescent="0.3">
      <c r="A525" s="15">
        <v>523</v>
      </c>
      <c r="B525" s="36">
        <v>1</v>
      </c>
      <c r="C525" s="5">
        <v>1</v>
      </c>
      <c r="D525" s="5">
        <v>0</v>
      </c>
      <c r="E525" s="9">
        <v>41</v>
      </c>
      <c r="F525" s="9">
        <v>2</v>
      </c>
      <c r="G525" s="9">
        <v>5.7</v>
      </c>
      <c r="H525" s="9">
        <f>CONVERT(525,"ft","m")*100</f>
        <v>16002.000000000002</v>
      </c>
      <c r="I525" s="9">
        <f t="shared" si="16"/>
        <v>160.02000000000001</v>
      </c>
      <c r="J525" s="9">
        <f>I525*I525</f>
        <v>25606.400400000002</v>
      </c>
      <c r="K525" s="9">
        <v>50</v>
      </c>
      <c r="L525" s="7">
        <f t="shared" si="17"/>
        <v>1.9526368102874777E-3</v>
      </c>
      <c r="M525" s="28">
        <v>0</v>
      </c>
      <c r="N525" s="28">
        <v>0</v>
      </c>
      <c r="O525" s="28">
        <v>1</v>
      </c>
      <c r="P525" s="28">
        <v>1</v>
      </c>
      <c r="Q525" s="29">
        <v>9</v>
      </c>
    </row>
    <row r="526" spans="1:17" x14ac:dyDescent="0.3">
      <c r="A526" s="15">
        <v>524</v>
      </c>
      <c r="B526" s="36">
        <v>1</v>
      </c>
      <c r="C526" s="5">
        <v>1</v>
      </c>
      <c r="D526" s="5">
        <v>1</v>
      </c>
      <c r="E526" s="9">
        <v>29</v>
      </c>
      <c r="F526" s="9">
        <v>1</v>
      </c>
      <c r="G526" s="9">
        <v>4.2</v>
      </c>
      <c r="H526" s="9">
        <f>CONVERT(526,"ft","m")*100</f>
        <v>16032.480000000001</v>
      </c>
      <c r="I526" s="9">
        <f t="shared" si="16"/>
        <v>160.32480000000001</v>
      </c>
      <c r="J526" s="9">
        <f>I526*I526</f>
        <v>25704.041495040005</v>
      </c>
      <c r="K526" s="9">
        <v>60</v>
      </c>
      <c r="L526" s="7">
        <f t="shared" si="17"/>
        <v>2.3342632718507685E-3</v>
      </c>
      <c r="M526" s="28">
        <v>0</v>
      </c>
      <c r="N526" s="28">
        <v>0</v>
      </c>
      <c r="O526" s="28">
        <v>0</v>
      </c>
      <c r="P526" s="28">
        <v>1</v>
      </c>
      <c r="Q526" s="29">
        <v>9</v>
      </c>
    </row>
    <row r="527" spans="1:17" x14ac:dyDescent="0.3">
      <c r="A527" s="15">
        <v>525</v>
      </c>
      <c r="B527" s="36">
        <v>1</v>
      </c>
      <c r="C527" s="5">
        <v>1</v>
      </c>
      <c r="D527" s="5">
        <v>1</v>
      </c>
      <c r="E527" s="9">
        <v>34</v>
      </c>
      <c r="F527" s="9">
        <v>1</v>
      </c>
      <c r="G527" s="9">
        <v>5.6</v>
      </c>
      <c r="H527" s="9">
        <f>CONVERT(527,"ft","m")*100</f>
        <v>16062.960000000001</v>
      </c>
      <c r="I527" s="9">
        <f t="shared" si="16"/>
        <v>160.62960000000001</v>
      </c>
      <c r="J527" s="9">
        <f>I527*I527</f>
        <v>25801.868396160004</v>
      </c>
      <c r="K527" s="9">
        <v>50</v>
      </c>
      <c r="L527" s="7">
        <f t="shared" si="17"/>
        <v>1.9378441604423235E-3</v>
      </c>
      <c r="M527" s="28">
        <v>0</v>
      </c>
      <c r="N527" s="28">
        <v>0</v>
      </c>
      <c r="O527" s="28">
        <v>1</v>
      </c>
      <c r="P527" s="28">
        <v>1</v>
      </c>
      <c r="Q527" s="29">
        <v>9</v>
      </c>
    </row>
    <row r="528" spans="1:17" x14ac:dyDescent="0.3">
      <c r="A528" s="15">
        <v>526</v>
      </c>
      <c r="B528" s="36">
        <v>1</v>
      </c>
      <c r="C528" s="5">
        <v>1</v>
      </c>
      <c r="D528" s="5">
        <v>1</v>
      </c>
      <c r="E528" s="9">
        <v>25</v>
      </c>
      <c r="F528" s="9">
        <v>1</v>
      </c>
      <c r="G528" s="9">
        <v>5.2</v>
      </c>
      <c r="H528" s="9">
        <f>CONVERT(528,"ft","m")*100</f>
        <v>16093.44</v>
      </c>
      <c r="I528" s="9">
        <f t="shared" si="16"/>
        <v>160.93440000000001</v>
      </c>
      <c r="J528" s="9">
        <f>I528*I528</f>
        <v>25899.881103360003</v>
      </c>
      <c r="K528" s="9">
        <v>45</v>
      </c>
      <c r="L528" s="7">
        <f t="shared" si="17"/>
        <v>1.7374597134410062E-3</v>
      </c>
      <c r="M528" s="28">
        <v>0</v>
      </c>
      <c r="N528" s="28">
        <v>0</v>
      </c>
      <c r="O528" s="28">
        <v>1</v>
      </c>
      <c r="P528" s="28">
        <v>1</v>
      </c>
      <c r="Q528" s="29">
        <v>7</v>
      </c>
    </row>
    <row r="529" spans="1:17" x14ac:dyDescent="0.3">
      <c r="A529" s="15">
        <v>527</v>
      </c>
      <c r="B529" s="36">
        <v>1</v>
      </c>
      <c r="C529" s="5">
        <v>1</v>
      </c>
      <c r="D529" s="5">
        <v>1</v>
      </c>
      <c r="E529" s="9">
        <v>40</v>
      </c>
      <c r="F529" s="9">
        <v>1</v>
      </c>
      <c r="G529" s="9">
        <v>5.4</v>
      </c>
      <c r="H529" s="9">
        <f>CONVERT(529,"ft","m")*100</f>
        <v>16123.920000000002</v>
      </c>
      <c r="I529" s="9">
        <f t="shared" si="16"/>
        <v>161.23920000000001</v>
      </c>
      <c r="J529" s="9">
        <f>I529*I529</f>
        <v>25998.079616640003</v>
      </c>
      <c r="K529" s="9">
        <v>60</v>
      </c>
      <c r="L529" s="7">
        <f t="shared" si="17"/>
        <v>2.3078627685099154E-3</v>
      </c>
      <c r="M529" s="28">
        <v>0</v>
      </c>
      <c r="N529" s="28">
        <v>0</v>
      </c>
      <c r="O529" s="28">
        <v>1</v>
      </c>
      <c r="P529" s="28">
        <v>1</v>
      </c>
      <c r="Q529" s="29">
        <v>8</v>
      </c>
    </row>
    <row r="530" spans="1:17" x14ac:dyDescent="0.3">
      <c r="A530" s="15">
        <v>528</v>
      </c>
      <c r="B530" s="36">
        <v>1</v>
      </c>
      <c r="C530" s="5">
        <v>0</v>
      </c>
      <c r="D530" s="5">
        <v>0</v>
      </c>
      <c r="E530" s="9">
        <v>45</v>
      </c>
      <c r="F530" s="9">
        <v>1</v>
      </c>
      <c r="G530" s="9">
        <v>5.4</v>
      </c>
      <c r="H530" s="9">
        <f>CONVERT(530,"ft","m")*100</f>
        <v>16154.400000000001</v>
      </c>
      <c r="I530" s="9">
        <f t="shared" si="16"/>
        <v>161.54400000000001</v>
      </c>
      <c r="J530" s="9">
        <f>I530*I530</f>
        <v>26096.463936000004</v>
      </c>
      <c r="K530" s="9">
        <v>60</v>
      </c>
      <c r="L530" s="7">
        <f t="shared" si="17"/>
        <v>2.2991620683609228E-3</v>
      </c>
      <c r="M530" s="28">
        <v>0</v>
      </c>
      <c r="N530" s="28">
        <v>0</v>
      </c>
      <c r="O530" s="28">
        <v>1</v>
      </c>
      <c r="P530" s="28">
        <v>1</v>
      </c>
      <c r="Q530" s="29">
        <v>9</v>
      </c>
    </row>
    <row r="531" spans="1:17" x14ac:dyDescent="0.3">
      <c r="A531" s="15">
        <v>529</v>
      </c>
      <c r="B531" s="36">
        <v>1</v>
      </c>
      <c r="C531" s="5">
        <v>0</v>
      </c>
      <c r="D531" s="5">
        <v>1</v>
      </c>
      <c r="E531" s="9">
        <v>26</v>
      </c>
      <c r="F531" s="9">
        <v>1</v>
      </c>
      <c r="G531" s="9">
        <v>5.4</v>
      </c>
      <c r="H531" s="9">
        <f>CONVERT(531,"ft","m")*100</f>
        <v>16184.880000000001</v>
      </c>
      <c r="I531" s="9">
        <f t="shared" si="16"/>
        <v>161.84880000000001</v>
      </c>
      <c r="J531" s="9">
        <f>I531*I531</f>
        <v>26195.034061440005</v>
      </c>
      <c r="K531" s="9">
        <v>50</v>
      </c>
      <c r="L531" s="7">
        <f t="shared" si="17"/>
        <v>1.9087587320072137E-3</v>
      </c>
      <c r="M531" s="28">
        <v>0</v>
      </c>
      <c r="N531" s="28">
        <v>0</v>
      </c>
      <c r="O531" s="28">
        <v>1</v>
      </c>
      <c r="P531" s="28">
        <v>1</v>
      </c>
      <c r="Q531" s="29">
        <v>8</v>
      </c>
    </row>
    <row r="532" spans="1:17" x14ac:dyDescent="0.3">
      <c r="A532" s="15">
        <v>530</v>
      </c>
      <c r="B532" s="36">
        <v>1</v>
      </c>
      <c r="C532" s="5">
        <v>1</v>
      </c>
      <c r="D532" s="5">
        <v>0</v>
      </c>
      <c r="E532" s="9">
        <v>38</v>
      </c>
      <c r="F532" s="9">
        <v>0</v>
      </c>
      <c r="G532" s="9">
        <v>6.4</v>
      </c>
      <c r="H532" s="9">
        <f>CONVERT(532,"ft","m")*100</f>
        <v>16215.36</v>
      </c>
      <c r="I532" s="9">
        <f t="shared" si="16"/>
        <v>162.15360000000001</v>
      </c>
      <c r="J532" s="9">
        <f>I532*I532</f>
        <v>26293.789992960003</v>
      </c>
      <c r="K532" s="9">
        <v>55</v>
      </c>
      <c r="L532" s="7">
        <f t="shared" si="17"/>
        <v>2.0917486606048768E-3</v>
      </c>
      <c r="M532" s="28">
        <v>0</v>
      </c>
      <c r="N532" s="28">
        <v>0</v>
      </c>
      <c r="O532" s="28">
        <v>0</v>
      </c>
      <c r="P532" s="28">
        <v>1</v>
      </c>
      <c r="Q532" s="29">
        <v>9.1999999999999993</v>
      </c>
    </row>
    <row r="533" spans="1:17" x14ac:dyDescent="0.3">
      <c r="A533" s="15">
        <v>531</v>
      </c>
      <c r="B533" s="36">
        <v>1</v>
      </c>
      <c r="C533" s="5">
        <v>1</v>
      </c>
      <c r="D533" s="5">
        <v>0</v>
      </c>
      <c r="E533" s="9">
        <v>42</v>
      </c>
      <c r="F533" s="9">
        <v>1</v>
      </c>
      <c r="G533" s="9">
        <v>5.6</v>
      </c>
      <c r="H533" s="9">
        <f>CONVERT(533,"ft","m")*100</f>
        <v>16245.840000000002</v>
      </c>
      <c r="I533" s="9">
        <f t="shared" si="16"/>
        <v>162.45840000000001</v>
      </c>
      <c r="J533" s="9">
        <f>I533*I533</f>
        <v>26392.731730560005</v>
      </c>
      <c r="K533" s="9">
        <v>60</v>
      </c>
      <c r="L533" s="7">
        <f t="shared" si="17"/>
        <v>2.2733531569423078E-3</v>
      </c>
      <c r="M533" s="28">
        <v>0</v>
      </c>
      <c r="N533" s="28">
        <v>0</v>
      </c>
      <c r="O533" s="28">
        <v>0</v>
      </c>
      <c r="P533" s="28">
        <v>1</v>
      </c>
      <c r="Q533" s="29">
        <v>9</v>
      </c>
    </row>
    <row r="534" spans="1:17" x14ac:dyDescent="0.3">
      <c r="A534" s="15">
        <v>532</v>
      </c>
      <c r="B534" s="36">
        <v>1</v>
      </c>
      <c r="C534" s="5">
        <v>1</v>
      </c>
      <c r="D534" s="5">
        <v>1</v>
      </c>
      <c r="E534" s="9">
        <v>47</v>
      </c>
      <c r="F534" s="9">
        <v>1</v>
      </c>
      <c r="G534" s="9">
        <v>5.7</v>
      </c>
      <c r="H534" s="9">
        <f>CONVERT(534,"ft","m")*100</f>
        <v>16276.320000000002</v>
      </c>
      <c r="I534" s="9">
        <f t="shared" si="16"/>
        <v>162.76320000000001</v>
      </c>
      <c r="J534" s="9">
        <f>I534*I534</f>
        <v>26491.859274240003</v>
      </c>
      <c r="K534" s="9">
        <v>60</v>
      </c>
      <c r="L534" s="7">
        <f t="shared" si="17"/>
        <v>2.264846697956849E-3</v>
      </c>
      <c r="M534" s="28">
        <v>0</v>
      </c>
      <c r="N534" s="28">
        <v>0</v>
      </c>
      <c r="O534" s="28">
        <v>0</v>
      </c>
      <c r="P534" s="28">
        <v>1</v>
      </c>
      <c r="Q534" s="29">
        <v>9</v>
      </c>
    </row>
    <row r="535" spans="1:17" x14ac:dyDescent="0.3">
      <c r="A535" s="15">
        <v>533</v>
      </c>
      <c r="B535" s="36">
        <v>1</v>
      </c>
      <c r="C535" s="5">
        <v>0</v>
      </c>
      <c r="D535" s="5">
        <v>1</v>
      </c>
      <c r="E535" s="9">
        <v>38</v>
      </c>
      <c r="F535" s="9">
        <v>1</v>
      </c>
      <c r="G535" s="9">
        <v>5.4</v>
      </c>
      <c r="H535" s="9">
        <f>CONVERT(535,"ft","m")*100</f>
        <v>16306.800000000001</v>
      </c>
      <c r="I535" s="9">
        <f t="shared" si="16"/>
        <v>163.06800000000001</v>
      </c>
      <c r="J535" s="9">
        <f>I535*I535</f>
        <v>26591.172624000003</v>
      </c>
      <c r="K535" s="9">
        <v>60</v>
      </c>
      <c r="L535" s="7">
        <f t="shared" si="17"/>
        <v>2.2563878941482514E-3</v>
      </c>
      <c r="M535" s="28">
        <v>0</v>
      </c>
      <c r="N535" s="28">
        <v>0</v>
      </c>
      <c r="O535" s="28">
        <v>0</v>
      </c>
      <c r="P535" s="28">
        <v>1</v>
      </c>
      <c r="Q535" s="29">
        <v>9</v>
      </c>
    </row>
    <row r="536" spans="1:17" x14ac:dyDescent="0.3">
      <c r="A536" s="15">
        <v>534</v>
      </c>
      <c r="B536" s="36">
        <v>1</v>
      </c>
      <c r="C536" s="5">
        <v>0</v>
      </c>
      <c r="D536" s="5">
        <v>0</v>
      </c>
      <c r="E536" s="9">
        <v>42</v>
      </c>
      <c r="F536" s="9">
        <v>7</v>
      </c>
      <c r="G536" s="9">
        <v>5.0999999999999996</v>
      </c>
      <c r="H536" s="9">
        <f>CONVERT(536,"ft","m")*100</f>
        <v>16337.28</v>
      </c>
      <c r="I536" s="9">
        <f t="shared" si="16"/>
        <v>163.37280000000001</v>
      </c>
      <c r="J536" s="9">
        <f>I536*I536</f>
        <v>26690.671779840002</v>
      </c>
      <c r="K536" s="9">
        <v>65</v>
      </c>
      <c r="L536" s="7">
        <f t="shared" si="17"/>
        <v>2.4353077560638919E-3</v>
      </c>
      <c r="M536" s="28">
        <v>0</v>
      </c>
      <c r="N536" s="28">
        <v>0</v>
      </c>
      <c r="O536" s="28">
        <v>0</v>
      </c>
      <c r="P536" s="28">
        <v>1</v>
      </c>
      <c r="Q536" s="29">
        <v>9</v>
      </c>
    </row>
    <row r="537" spans="1:17" x14ac:dyDescent="0.3">
      <c r="A537" s="15">
        <v>535</v>
      </c>
      <c r="B537" s="36">
        <v>1</v>
      </c>
      <c r="C537" s="5">
        <v>0</v>
      </c>
      <c r="D537" s="5">
        <v>0</v>
      </c>
      <c r="E537" s="9">
        <v>47</v>
      </c>
      <c r="F537" s="9">
        <v>4</v>
      </c>
      <c r="G537" s="9">
        <v>6.2</v>
      </c>
      <c r="H537" s="9">
        <f>CONVERT(537,"ft","m")*100</f>
        <v>16367.760000000002</v>
      </c>
      <c r="I537" s="9">
        <f t="shared" ref="I537:I600" si="18">H537/100</f>
        <v>163.67760000000001</v>
      </c>
      <c r="J537" s="9">
        <f>I537*I537</f>
        <v>26790.356741760002</v>
      </c>
      <c r="K537" s="9">
        <v>70</v>
      </c>
      <c r="L537" s="7">
        <f t="shared" si="17"/>
        <v>2.6128804731773542E-3</v>
      </c>
      <c r="M537" s="28">
        <v>0</v>
      </c>
      <c r="N537" s="28">
        <v>0</v>
      </c>
      <c r="O537" s="28">
        <v>0</v>
      </c>
      <c r="P537" s="28">
        <v>1</v>
      </c>
      <c r="Q537" s="29">
        <v>9</v>
      </c>
    </row>
    <row r="538" spans="1:17" x14ac:dyDescent="0.3">
      <c r="A538" s="15">
        <v>536</v>
      </c>
      <c r="B538" s="36">
        <v>1</v>
      </c>
      <c r="C538" s="5">
        <v>1</v>
      </c>
      <c r="D538" s="5">
        <v>0</v>
      </c>
      <c r="E538" s="9">
        <v>30</v>
      </c>
      <c r="F538" s="9">
        <v>1</v>
      </c>
      <c r="G538" s="9">
        <v>5.8</v>
      </c>
      <c r="H538" s="9">
        <f>CONVERT(538,"ft","m")*100</f>
        <v>16398.240000000002</v>
      </c>
      <c r="I538" s="9">
        <f t="shared" si="18"/>
        <v>163.98240000000001</v>
      </c>
      <c r="J538" s="9">
        <f>I538*I538</f>
        <v>26890.227509760003</v>
      </c>
      <c r="K538" s="9">
        <v>55</v>
      </c>
      <c r="L538" s="7">
        <f t="shared" si="17"/>
        <v>2.0453527207993072E-3</v>
      </c>
      <c r="M538" s="28">
        <v>0</v>
      </c>
      <c r="N538" s="28">
        <v>0</v>
      </c>
      <c r="O538" s="28">
        <v>0</v>
      </c>
      <c r="P538" s="28">
        <v>1</v>
      </c>
      <c r="Q538" s="29">
        <v>9</v>
      </c>
    </row>
    <row r="539" spans="1:17" x14ac:dyDescent="0.3">
      <c r="A539" s="15">
        <v>537</v>
      </c>
      <c r="B539" s="36">
        <v>1</v>
      </c>
      <c r="C539" s="5">
        <v>1</v>
      </c>
      <c r="D539" s="5">
        <v>0</v>
      </c>
      <c r="E539" s="9">
        <v>41</v>
      </c>
      <c r="F539" s="9">
        <v>1</v>
      </c>
      <c r="G539" s="9">
        <v>5.4</v>
      </c>
      <c r="H539" s="9">
        <f>CONVERT(539,"ft","m")*100</f>
        <v>16428.72</v>
      </c>
      <c r="I539" s="9">
        <f t="shared" si="18"/>
        <v>164.28720000000001</v>
      </c>
      <c r="J539" s="9">
        <f>I539*I539</f>
        <v>26990.284083840004</v>
      </c>
      <c r="K539" s="9">
        <v>55</v>
      </c>
      <c r="L539" s="7">
        <f t="shared" si="17"/>
        <v>2.0377703261348907E-3</v>
      </c>
      <c r="M539" s="28">
        <v>0</v>
      </c>
      <c r="N539" s="28">
        <v>0</v>
      </c>
      <c r="O539" s="28">
        <v>0</v>
      </c>
      <c r="P539" s="28">
        <v>1</v>
      </c>
      <c r="Q539" s="29">
        <v>9</v>
      </c>
    </row>
    <row r="540" spans="1:17" x14ac:dyDescent="0.3">
      <c r="A540" s="15">
        <v>538</v>
      </c>
      <c r="B540" s="36">
        <v>1</v>
      </c>
      <c r="C540" s="5">
        <v>1</v>
      </c>
      <c r="D540" s="5">
        <v>0</v>
      </c>
      <c r="E540" s="9">
        <v>37</v>
      </c>
      <c r="F540" s="9">
        <v>1</v>
      </c>
      <c r="G540" s="9">
        <v>5.4</v>
      </c>
      <c r="H540" s="9">
        <f>CONVERT(540,"ft","m")*100</f>
        <v>16459.2</v>
      </c>
      <c r="I540" s="9">
        <f t="shared" si="18"/>
        <v>164.59200000000001</v>
      </c>
      <c r="J540" s="9">
        <f>I540*I540</f>
        <v>27090.526464000006</v>
      </c>
      <c r="K540" s="9">
        <v>60</v>
      </c>
      <c r="L540" s="7">
        <f t="shared" si="17"/>
        <v>2.2147963820390369E-3</v>
      </c>
      <c r="M540" s="28">
        <v>0</v>
      </c>
      <c r="N540" s="28">
        <v>0</v>
      </c>
      <c r="O540" s="28">
        <v>1</v>
      </c>
      <c r="P540" s="28">
        <v>1</v>
      </c>
      <c r="Q540" s="29">
        <v>9</v>
      </c>
    </row>
    <row r="541" spans="1:17" x14ac:dyDescent="0.3">
      <c r="A541" s="15">
        <v>539</v>
      </c>
      <c r="B541" s="36">
        <v>1</v>
      </c>
      <c r="C541" s="5">
        <v>1</v>
      </c>
      <c r="D541" s="5">
        <v>0</v>
      </c>
      <c r="E541" s="9">
        <v>34</v>
      </c>
      <c r="F541" s="9">
        <v>22</v>
      </c>
      <c r="G541" s="9">
        <v>5.4</v>
      </c>
      <c r="H541" s="9">
        <f>CONVERT(541,"ft","m")*100</f>
        <v>16489.68</v>
      </c>
      <c r="I541" s="9">
        <f t="shared" si="18"/>
        <v>164.89680000000001</v>
      </c>
      <c r="J541" s="9">
        <f>I541*I541</f>
        <v>27190.954650240004</v>
      </c>
      <c r="K541" s="9">
        <v>50</v>
      </c>
      <c r="L541" s="7">
        <f t="shared" si="17"/>
        <v>1.8388468019293566E-3</v>
      </c>
      <c r="M541" s="28">
        <v>0</v>
      </c>
      <c r="N541" s="28">
        <v>0</v>
      </c>
      <c r="O541" s="28">
        <v>1</v>
      </c>
      <c r="P541" s="28">
        <v>1</v>
      </c>
      <c r="Q541" s="29">
        <v>9</v>
      </c>
    </row>
    <row r="542" spans="1:17" x14ac:dyDescent="0.3">
      <c r="A542" s="15">
        <v>540</v>
      </c>
      <c r="B542" s="36">
        <v>1</v>
      </c>
      <c r="C542" s="5">
        <v>1</v>
      </c>
      <c r="D542" s="5">
        <v>1</v>
      </c>
      <c r="E542" s="9">
        <v>37</v>
      </c>
      <c r="F542" s="9">
        <v>0</v>
      </c>
      <c r="G542" s="9">
        <v>5.4</v>
      </c>
      <c r="H542" s="9">
        <f>CONVERT(542,"ft","m")*100</f>
        <v>16520.16</v>
      </c>
      <c r="I542" s="9">
        <f t="shared" si="18"/>
        <v>165.20159999999998</v>
      </c>
      <c r="J542" s="9">
        <f>I542*I542</f>
        <v>27291.568642559996</v>
      </c>
      <c r="K542" s="9">
        <v>60</v>
      </c>
      <c r="L542" s="7">
        <f t="shared" si="17"/>
        <v>2.1984811787781463E-3</v>
      </c>
      <c r="M542" s="28">
        <v>0</v>
      </c>
      <c r="N542" s="28">
        <v>0</v>
      </c>
      <c r="O542" s="28">
        <v>1</v>
      </c>
      <c r="P542" s="28">
        <v>1</v>
      </c>
      <c r="Q542" s="29">
        <v>9</v>
      </c>
    </row>
    <row r="543" spans="1:17" x14ac:dyDescent="0.3">
      <c r="A543" s="15">
        <v>541</v>
      </c>
      <c r="B543" s="36">
        <v>1</v>
      </c>
      <c r="C543" s="5">
        <v>1</v>
      </c>
      <c r="D543" s="5">
        <v>0</v>
      </c>
      <c r="E543" s="9">
        <v>26</v>
      </c>
      <c r="F543" s="9">
        <v>1</v>
      </c>
      <c r="G543" s="9">
        <v>6.4</v>
      </c>
      <c r="H543" s="9">
        <f>CONVERT(543,"ft","m")*100</f>
        <v>16550.640000000003</v>
      </c>
      <c r="I543" s="9">
        <f t="shared" si="18"/>
        <v>165.50640000000004</v>
      </c>
      <c r="J543" s="9">
        <f>I543*I543</f>
        <v>27392.368440960014</v>
      </c>
      <c r="K543" s="9">
        <v>40</v>
      </c>
      <c r="L543" s="7">
        <f t="shared" si="17"/>
        <v>1.460260732335496E-3</v>
      </c>
      <c r="M543" s="28">
        <v>0</v>
      </c>
      <c r="N543" s="28">
        <v>0</v>
      </c>
      <c r="O543" s="28">
        <v>1</v>
      </c>
      <c r="P543" s="28">
        <v>1</v>
      </c>
      <c r="Q543" s="29">
        <v>9</v>
      </c>
    </row>
    <row r="544" spans="1:17" x14ac:dyDescent="0.3">
      <c r="A544" s="15">
        <v>542</v>
      </c>
      <c r="B544" s="36">
        <v>1</v>
      </c>
      <c r="C544" s="5">
        <v>1</v>
      </c>
      <c r="D544" s="5">
        <v>0</v>
      </c>
      <c r="E544" s="9">
        <v>31</v>
      </c>
      <c r="F544" s="9">
        <v>1</v>
      </c>
      <c r="G544" s="9">
        <v>5.6</v>
      </c>
      <c r="H544" s="9">
        <f>CONVERT(544,"ft","m")*100</f>
        <v>16581.120000000003</v>
      </c>
      <c r="I544" s="9">
        <f t="shared" si="18"/>
        <v>165.81120000000001</v>
      </c>
      <c r="J544" s="9">
        <f>I544*I544</f>
        <v>27493.354045440006</v>
      </c>
      <c r="K544" s="9">
        <v>50</v>
      </c>
      <c r="L544" s="7">
        <f t="shared" si="17"/>
        <v>1.8186213263526099E-3</v>
      </c>
      <c r="M544" s="19">
        <v>1</v>
      </c>
      <c r="N544" s="28">
        <v>0</v>
      </c>
      <c r="O544" s="28">
        <v>1</v>
      </c>
      <c r="P544" s="28">
        <v>1</v>
      </c>
      <c r="Q544" s="29">
        <v>9</v>
      </c>
    </row>
    <row r="545" spans="1:17" x14ac:dyDescent="0.3">
      <c r="A545" s="15">
        <v>543</v>
      </c>
      <c r="B545" s="36">
        <v>1</v>
      </c>
      <c r="C545" s="5">
        <v>1</v>
      </c>
      <c r="D545" s="5">
        <v>0</v>
      </c>
      <c r="E545" s="9">
        <v>44</v>
      </c>
      <c r="F545" s="9">
        <v>5</v>
      </c>
      <c r="G545" s="9">
        <v>5.7</v>
      </c>
      <c r="H545" s="9">
        <f>CONVERT(545,"ft","m")*100</f>
        <v>16611.600000000002</v>
      </c>
      <c r="I545" s="9">
        <f t="shared" si="18"/>
        <v>166.11600000000001</v>
      </c>
      <c r="J545" s="9">
        <f>I545*I545</f>
        <v>27594.525456000003</v>
      </c>
      <c r="K545" s="9">
        <v>55</v>
      </c>
      <c r="L545" s="7">
        <f t="shared" si="17"/>
        <v>1.9931489703527805E-3</v>
      </c>
      <c r="M545" s="19">
        <v>1</v>
      </c>
      <c r="N545" s="28">
        <v>0</v>
      </c>
      <c r="O545" s="28">
        <v>0</v>
      </c>
      <c r="P545" s="28">
        <v>1</v>
      </c>
      <c r="Q545" s="29">
        <v>9</v>
      </c>
    </row>
    <row r="546" spans="1:17" x14ac:dyDescent="0.3">
      <c r="A546" s="15">
        <v>544</v>
      </c>
      <c r="B546" s="36">
        <v>1</v>
      </c>
      <c r="C546" s="5">
        <v>1</v>
      </c>
      <c r="D546" s="5">
        <v>0</v>
      </c>
      <c r="E546" s="9">
        <v>26</v>
      </c>
      <c r="F546" s="9">
        <v>0</v>
      </c>
      <c r="G546" s="9">
        <v>5.4</v>
      </c>
      <c r="H546" s="9">
        <f>CONVERT(546,"ft","m")*100</f>
        <v>16642.080000000002</v>
      </c>
      <c r="I546" s="9">
        <f t="shared" si="18"/>
        <v>166.42080000000001</v>
      </c>
      <c r="J546" s="9">
        <f>I546*I546</f>
        <v>27695.882672640004</v>
      </c>
      <c r="K546" s="9">
        <v>50</v>
      </c>
      <c r="L546" s="7">
        <f t="shared" si="17"/>
        <v>1.805322494718452E-3</v>
      </c>
      <c r="M546" s="19">
        <v>1</v>
      </c>
      <c r="N546" s="28">
        <v>0</v>
      </c>
      <c r="O546" s="28">
        <v>0</v>
      </c>
      <c r="P546" s="28">
        <v>1</v>
      </c>
      <c r="Q546" s="29">
        <v>8</v>
      </c>
    </row>
    <row r="547" spans="1:17" x14ac:dyDescent="0.3">
      <c r="A547" s="15">
        <v>545</v>
      </c>
      <c r="B547" s="36">
        <v>1</v>
      </c>
      <c r="C547" s="5">
        <v>1</v>
      </c>
      <c r="D547" s="5">
        <v>0</v>
      </c>
      <c r="E547" s="9">
        <v>25</v>
      </c>
      <c r="F547" s="9">
        <v>17</v>
      </c>
      <c r="G547" s="9">
        <v>5.0999999999999996</v>
      </c>
      <c r="H547" s="9">
        <f>CONVERT(547,"ft","m")*100</f>
        <v>16672.559999999998</v>
      </c>
      <c r="I547" s="9">
        <f t="shared" si="18"/>
        <v>166.72559999999999</v>
      </c>
      <c r="J547" s="9">
        <f>I547*I547</f>
        <v>27797.425695359994</v>
      </c>
      <c r="K547" s="9">
        <v>40</v>
      </c>
      <c r="L547" s="7">
        <f t="shared" si="17"/>
        <v>1.4389821718878409E-3</v>
      </c>
      <c r="M547" s="19">
        <v>1</v>
      </c>
      <c r="N547" s="28">
        <v>0</v>
      </c>
      <c r="O547" s="28">
        <v>0</v>
      </c>
      <c r="P547" s="28">
        <v>1</v>
      </c>
      <c r="Q547" s="29">
        <v>8</v>
      </c>
    </row>
    <row r="548" spans="1:17" x14ac:dyDescent="0.3">
      <c r="A548" s="15">
        <v>546</v>
      </c>
      <c r="B548" s="36">
        <v>1</v>
      </c>
      <c r="C548" s="5">
        <v>0</v>
      </c>
      <c r="D548" s="5">
        <v>0</v>
      </c>
      <c r="E548" s="9">
        <v>36</v>
      </c>
      <c r="F548" s="9">
        <v>0</v>
      </c>
      <c r="G548" s="9">
        <v>6.2</v>
      </c>
      <c r="H548" s="9">
        <f>CONVERT(548,"ft","m")*100</f>
        <v>16703.039999999997</v>
      </c>
      <c r="I548" s="9">
        <f t="shared" si="18"/>
        <v>167.03039999999999</v>
      </c>
      <c r="J548" s="9">
        <f>I548*I548</f>
        <v>27899.154524159996</v>
      </c>
      <c r="K548" s="9">
        <v>50</v>
      </c>
      <c r="L548" s="7">
        <f t="shared" si="17"/>
        <v>1.7921690048600292E-3</v>
      </c>
      <c r="M548" s="19">
        <v>1</v>
      </c>
      <c r="N548" s="28">
        <v>0</v>
      </c>
      <c r="O548" s="28">
        <v>0</v>
      </c>
      <c r="P548" s="28">
        <v>1</v>
      </c>
      <c r="Q548" s="29">
        <v>8</v>
      </c>
    </row>
    <row r="549" spans="1:17" x14ac:dyDescent="0.3">
      <c r="A549" s="15">
        <v>547</v>
      </c>
      <c r="B549" s="36">
        <v>1</v>
      </c>
      <c r="C549" s="5">
        <v>0</v>
      </c>
      <c r="D549" s="5">
        <v>0</v>
      </c>
      <c r="E549" s="9">
        <v>42</v>
      </c>
      <c r="F549" s="9">
        <v>1</v>
      </c>
      <c r="G549" s="9">
        <v>5.8</v>
      </c>
      <c r="H549" s="9">
        <f>CONVERT(549,"ft","m")*100</f>
        <v>16733.519999999997</v>
      </c>
      <c r="I549" s="9">
        <f t="shared" si="18"/>
        <v>167.33519999999996</v>
      </c>
      <c r="J549" s="9">
        <f>I549*I549</f>
        <v>28001.069159039987</v>
      </c>
      <c r="K549" s="9">
        <v>55</v>
      </c>
      <c r="L549" s="7">
        <f t="shared" si="17"/>
        <v>1.9642107123700155E-3</v>
      </c>
      <c r="M549" s="19">
        <v>1</v>
      </c>
      <c r="N549" s="28">
        <v>0</v>
      </c>
      <c r="O549" s="28">
        <v>0</v>
      </c>
      <c r="P549" s="28">
        <v>1</v>
      </c>
      <c r="Q549" s="29">
        <v>8</v>
      </c>
    </row>
    <row r="550" spans="1:17" x14ac:dyDescent="0.3">
      <c r="A550" s="15">
        <v>548</v>
      </c>
      <c r="B550" s="36">
        <v>1</v>
      </c>
      <c r="C550" s="5">
        <v>0</v>
      </c>
      <c r="D550" s="5">
        <v>0</v>
      </c>
      <c r="E550" s="9">
        <v>52</v>
      </c>
      <c r="F550" s="9">
        <v>1</v>
      </c>
      <c r="G550" s="9">
        <v>5.9</v>
      </c>
      <c r="H550" s="9">
        <f>CONVERT(550,"ft","m")*100</f>
        <v>16764</v>
      </c>
      <c r="I550" s="9">
        <f t="shared" si="18"/>
        <v>167.64</v>
      </c>
      <c r="J550" s="9">
        <f>I550*I550</f>
        <v>28103.169599999994</v>
      </c>
      <c r="K550" s="9">
        <v>65</v>
      </c>
      <c r="L550" s="7">
        <f t="shared" si="17"/>
        <v>2.3129063705326679E-3</v>
      </c>
      <c r="M550" s="19">
        <v>1</v>
      </c>
      <c r="N550" s="28">
        <v>0</v>
      </c>
      <c r="O550" s="28">
        <v>0</v>
      </c>
      <c r="P550" s="28">
        <v>1</v>
      </c>
      <c r="Q550" s="29">
        <v>8</v>
      </c>
    </row>
    <row r="551" spans="1:17" x14ac:dyDescent="0.3">
      <c r="A551" s="15">
        <v>549</v>
      </c>
      <c r="B551" s="36">
        <v>1</v>
      </c>
      <c r="C551" s="5">
        <v>0</v>
      </c>
      <c r="D551" s="5">
        <v>0</v>
      </c>
      <c r="E551" s="9">
        <v>70</v>
      </c>
      <c r="F551" s="9">
        <v>4</v>
      </c>
      <c r="G551" s="9">
        <v>5.7</v>
      </c>
      <c r="H551" s="9">
        <f>CONVERT(551,"ft","m")*100</f>
        <v>16794.48</v>
      </c>
      <c r="I551" s="9">
        <f t="shared" si="18"/>
        <v>167.94479999999999</v>
      </c>
      <c r="J551" s="9">
        <f>I551*I551</f>
        <v>28205.455847039997</v>
      </c>
      <c r="K551" s="9">
        <v>80</v>
      </c>
      <c r="L551" s="7">
        <f t="shared" si="17"/>
        <v>2.8363306884258547E-3</v>
      </c>
      <c r="M551" s="28">
        <v>0</v>
      </c>
      <c r="N551" s="28">
        <v>0</v>
      </c>
      <c r="O551" s="28">
        <v>0</v>
      </c>
      <c r="P551" s="28">
        <v>1</v>
      </c>
      <c r="Q551" s="29">
        <v>8</v>
      </c>
    </row>
    <row r="552" spans="1:17" x14ac:dyDescent="0.3">
      <c r="A552" s="15">
        <v>550</v>
      </c>
      <c r="B552" s="36">
        <v>1</v>
      </c>
      <c r="C552" s="5">
        <v>0</v>
      </c>
      <c r="D552" s="5">
        <v>1</v>
      </c>
      <c r="E552" s="9">
        <v>23</v>
      </c>
      <c r="F552" s="9">
        <v>7</v>
      </c>
      <c r="G552" s="9">
        <v>5.4</v>
      </c>
      <c r="H552" s="9">
        <f>CONVERT(552,"ft","m")*100</f>
        <v>16824.96</v>
      </c>
      <c r="I552" s="9">
        <f t="shared" si="18"/>
        <v>168.24959999999999</v>
      </c>
      <c r="J552" s="9">
        <f>I552*I552</f>
        <v>28307.927900159997</v>
      </c>
      <c r="K552" s="9">
        <v>40</v>
      </c>
      <c r="L552" s="7">
        <f t="shared" si="17"/>
        <v>1.4130317182196128E-3</v>
      </c>
      <c r="M552" s="28">
        <v>0</v>
      </c>
      <c r="N552" s="28">
        <v>0</v>
      </c>
      <c r="O552" s="28">
        <v>0</v>
      </c>
      <c r="P552" s="28">
        <v>1</v>
      </c>
      <c r="Q552" s="29">
        <v>8</v>
      </c>
    </row>
    <row r="553" spans="1:17" x14ac:dyDescent="0.3">
      <c r="A553" s="15">
        <v>551</v>
      </c>
      <c r="B553" s="36">
        <v>1</v>
      </c>
      <c r="C553" s="5">
        <v>1</v>
      </c>
      <c r="D553" s="5">
        <v>1</v>
      </c>
      <c r="E553" s="9">
        <v>19</v>
      </c>
      <c r="F553" s="9">
        <v>1</v>
      </c>
      <c r="G553" s="9">
        <v>5.4</v>
      </c>
      <c r="H553" s="9">
        <f>CONVERT(553,"ft","m")*100</f>
        <v>16855.439999999999</v>
      </c>
      <c r="I553" s="9">
        <f t="shared" si="18"/>
        <v>168.55439999999999</v>
      </c>
      <c r="J553" s="9">
        <f>I553*I553</f>
        <v>28410.585759359994</v>
      </c>
      <c r="K553" s="9">
        <v>35</v>
      </c>
      <c r="L553" s="7">
        <f t="shared" si="17"/>
        <v>1.2319351771361874E-3</v>
      </c>
      <c r="M553" s="28">
        <v>0</v>
      </c>
      <c r="N553" s="28">
        <v>0</v>
      </c>
      <c r="O553" s="28">
        <v>0</v>
      </c>
      <c r="P553" s="28">
        <v>1</v>
      </c>
      <c r="Q553" s="29">
        <v>8</v>
      </c>
    </row>
    <row r="554" spans="1:17" x14ac:dyDescent="0.3">
      <c r="A554" s="15">
        <v>552</v>
      </c>
      <c r="B554" s="36">
        <v>1</v>
      </c>
      <c r="C554" s="5">
        <v>1</v>
      </c>
      <c r="D554" s="5">
        <v>0</v>
      </c>
      <c r="E554" s="9">
        <v>36</v>
      </c>
      <c r="F554" s="9">
        <v>1</v>
      </c>
      <c r="G554" s="9">
        <v>5.4</v>
      </c>
      <c r="H554" s="9">
        <f>CONVERT(554,"ft","m")*100</f>
        <v>16885.919999999998</v>
      </c>
      <c r="I554" s="9">
        <f t="shared" si="18"/>
        <v>168.85919999999999</v>
      </c>
      <c r="J554" s="9">
        <f>I554*I554</f>
        <v>28513.429424639995</v>
      </c>
      <c r="K554" s="9">
        <v>60</v>
      </c>
      <c r="L554" s="7">
        <f t="shared" si="17"/>
        <v>2.1042716085267091E-3</v>
      </c>
      <c r="M554" s="28">
        <v>0</v>
      </c>
      <c r="N554" s="28">
        <v>0</v>
      </c>
      <c r="O554" s="28">
        <v>1</v>
      </c>
      <c r="P554" s="28">
        <v>1</v>
      </c>
      <c r="Q554" s="29">
        <v>8</v>
      </c>
    </row>
    <row r="555" spans="1:17" x14ac:dyDescent="0.3">
      <c r="A555" s="15">
        <v>553</v>
      </c>
      <c r="B555" s="36">
        <v>1</v>
      </c>
      <c r="C555" s="5">
        <v>1</v>
      </c>
      <c r="D555" s="5">
        <v>1</v>
      </c>
      <c r="E555" s="9">
        <v>33</v>
      </c>
      <c r="F555" s="9">
        <v>1</v>
      </c>
      <c r="G555" s="9">
        <v>5.4</v>
      </c>
      <c r="H555" s="9">
        <f>CONVERT(555,"ft","m")*100</f>
        <v>16916.399999999998</v>
      </c>
      <c r="I555" s="9">
        <f t="shared" si="18"/>
        <v>169.16399999999999</v>
      </c>
      <c r="J555" s="9">
        <f>I555*I555</f>
        <v>28616.458895999996</v>
      </c>
      <c r="K555" s="9">
        <v>65</v>
      </c>
      <c r="L555" s="7">
        <f t="shared" si="17"/>
        <v>2.2714201025440532E-3</v>
      </c>
      <c r="M555" s="28">
        <v>0</v>
      </c>
      <c r="N555" s="28">
        <v>0</v>
      </c>
      <c r="O555" s="28">
        <v>1</v>
      </c>
      <c r="P555" s="28">
        <v>1</v>
      </c>
      <c r="Q555" s="29">
        <v>10</v>
      </c>
    </row>
    <row r="556" spans="1:17" x14ac:dyDescent="0.3">
      <c r="A556" s="15">
        <v>554</v>
      </c>
      <c r="B556" s="36">
        <v>1</v>
      </c>
      <c r="C556" s="5">
        <v>1</v>
      </c>
      <c r="D556" s="5">
        <v>1</v>
      </c>
      <c r="E556" s="9">
        <v>42</v>
      </c>
      <c r="F556" s="9">
        <v>8</v>
      </c>
      <c r="G556" s="9">
        <v>5.4</v>
      </c>
      <c r="H556" s="9">
        <f>CONVERT(556,"ft","m")*100</f>
        <v>16946.879999999997</v>
      </c>
      <c r="I556" s="9">
        <f t="shared" si="18"/>
        <v>169.46879999999999</v>
      </c>
      <c r="J556" s="9">
        <f>I556*I556</f>
        <v>28719.674173439995</v>
      </c>
      <c r="K556" s="9">
        <v>60</v>
      </c>
      <c r="L556" s="7">
        <f t="shared" si="17"/>
        <v>2.089160191639225E-3</v>
      </c>
      <c r="M556" s="28">
        <v>0</v>
      </c>
      <c r="N556" s="28">
        <v>0</v>
      </c>
      <c r="O556" s="28">
        <v>1</v>
      </c>
      <c r="P556" s="28">
        <v>1</v>
      </c>
      <c r="Q556" s="29">
        <v>10</v>
      </c>
    </row>
    <row r="557" spans="1:17" x14ac:dyDescent="0.3">
      <c r="A557" s="15">
        <v>555</v>
      </c>
      <c r="B557" s="36">
        <v>1</v>
      </c>
      <c r="C557" s="5">
        <v>1</v>
      </c>
      <c r="D557" s="5">
        <v>0</v>
      </c>
      <c r="E557" s="9">
        <v>48</v>
      </c>
      <c r="F557" s="9">
        <v>8</v>
      </c>
      <c r="G557" s="9">
        <v>5.4</v>
      </c>
      <c r="H557" s="9">
        <f>CONVERT(557,"ft","m")*100</f>
        <v>16977.36</v>
      </c>
      <c r="I557" s="9">
        <f t="shared" si="18"/>
        <v>169.77360000000002</v>
      </c>
      <c r="J557" s="9">
        <f>I557*I557</f>
        <v>28823.075256960004</v>
      </c>
      <c r="K557" s="9">
        <v>55</v>
      </c>
      <c r="L557" s="7">
        <f t="shared" si="17"/>
        <v>1.9081933315467081E-3</v>
      </c>
      <c r="M557" s="28">
        <v>0</v>
      </c>
      <c r="N557" s="28">
        <v>0</v>
      </c>
      <c r="O557" s="28">
        <v>1</v>
      </c>
      <c r="P557" s="28">
        <v>1</v>
      </c>
      <c r="Q557" s="29">
        <v>10</v>
      </c>
    </row>
    <row r="558" spans="1:17" x14ac:dyDescent="0.3">
      <c r="A558" s="15">
        <v>556</v>
      </c>
      <c r="B558" s="36">
        <v>1</v>
      </c>
      <c r="C558" s="5">
        <v>1</v>
      </c>
      <c r="D558" s="5">
        <v>0</v>
      </c>
      <c r="E558" s="9">
        <v>63</v>
      </c>
      <c r="F558" s="9">
        <v>1</v>
      </c>
      <c r="G558" s="9">
        <v>5.4</v>
      </c>
      <c r="H558" s="9">
        <f>CONVERT(558,"ft","m")*100</f>
        <v>17007.84</v>
      </c>
      <c r="I558" s="9">
        <f t="shared" si="18"/>
        <v>170.07839999999999</v>
      </c>
      <c r="J558" s="9">
        <f>I558*I558</f>
        <v>28926.662146559996</v>
      </c>
      <c r="K558" s="9">
        <v>70</v>
      </c>
      <c r="L558" s="7">
        <f t="shared" si="17"/>
        <v>2.4199128003548282E-3</v>
      </c>
      <c r="M558" s="28">
        <v>0</v>
      </c>
      <c r="N558" s="28">
        <v>0</v>
      </c>
      <c r="O558" s="28">
        <v>1</v>
      </c>
      <c r="P558" s="28">
        <v>1</v>
      </c>
      <c r="Q558" s="29">
        <v>10</v>
      </c>
    </row>
    <row r="559" spans="1:17" x14ac:dyDescent="0.3">
      <c r="A559" s="15">
        <v>557</v>
      </c>
      <c r="B559" s="36">
        <v>1</v>
      </c>
      <c r="C559" s="5">
        <v>1</v>
      </c>
      <c r="D559" s="5">
        <v>0</v>
      </c>
      <c r="E559" s="9">
        <v>40</v>
      </c>
      <c r="F559" s="9">
        <v>11</v>
      </c>
      <c r="G559" s="9">
        <v>5.4</v>
      </c>
      <c r="H559" s="9">
        <f>CONVERT(559,"ft","m")*100</f>
        <v>17038.32</v>
      </c>
      <c r="I559" s="9">
        <f t="shared" si="18"/>
        <v>170.38319999999999</v>
      </c>
      <c r="J559" s="9">
        <f>I559*I559</f>
        <v>29030.434842239996</v>
      </c>
      <c r="K559" s="9">
        <v>60</v>
      </c>
      <c r="L559" s="7">
        <f t="shared" si="17"/>
        <v>2.0667964612331099E-3</v>
      </c>
      <c r="M559" s="28">
        <v>4</v>
      </c>
      <c r="N559" s="28">
        <v>1</v>
      </c>
      <c r="O559" s="28">
        <v>1</v>
      </c>
      <c r="P559" s="28">
        <v>1</v>
      </c>
      <c r="Q559" s="29">
        <v>10</v>
      </c>
    </row>
    <row r="560" spans="1:17" x14ac:dyDescent="0.3">
      <c r="A560" s="15">
        <v>558</v>
      </c>
      <c r="B560" s="36">
        <v>1</v>
      </c>
      <c r="C560" s="5">
        <v>1</v>
      </c>
      <c r="D560" s="5">
        <v>1</v>
      </c>
      <c r="E560" s="9">
        <v>28</v>
      </c>
      <c r="F560" s="9">
        <v>5</v>
      </c>
      <c r="G560" s="9">
        <v>5.4</v>
      </c>
      <c r="H560" s="9">
        <f>CONVERT(560,"ft","m")*100</f>
        <v>17068.8</v>
      </c>
      <c r="I560" s="9">
        <f t="shared" si="18"/>
        <v>170.68799999999999</v>
      </c>
      <c r="J560" s="9">
        <f>I560*I560</f>
        <v>29134.393343999996</v>
      </c>
      <c r="K560" s="9">
        <v>40</v>
      </c>
      <c r="L560" s="7">
        <f t="shared" si="17"/>
        <v>1.3729477572333832E-3</v>
      </c>
      <c r="M560" s="28">
        <v>0</v>
      </c>
      <c r="N560" s="28">
        <v>1</v>
      </c>
      <c r="O560" s="28">
        <v>1</v>
      </c>
      <c r="P560" s="28">
        <v>1</v>
      </c>
      <c r="Q560" s="29">
        <v>10</v>
      </c>
    </row>
    <row r="561" spans="1:17" x14ac:dyDescent="0.3">
      <c r="A561" s="15">
        <v>559</v>
      </c>
      <c r="B561" s="36">
        <v>1</v>
      </c>
      <c r="C561" s="5">
        <v>1</v>
      </c>
      <c r="D561" s="5">
        <v>0</v>
      </c>
      <c r="E561" s="9">
        <v>17</v>
      </c>
      <c r="F561" s="9">
        <v>12</v>
      </c>
      <c r="G561" s="9">
        <v>5.4</v>
      </c>
      <c r="H561" s="9">
        <f>CONVERT(561,"ft","m")*100</f>
        <v>17099.28</v>
      </c>
      <c r="I561" s="9">
        <f t="shared" si="18"/>
        <v>170.99279999999999</v>
      </c>
      <c r="J561" s="9">
        <f>I561*I561</f>
        <v>29238.537651839997</v>
      </c>
      <c r="K561" s="9">
        <v>55</v>
      </c>
      <c r="L561" s="7">
        <f t="shared" si="17"/>
        <v>1.8810790284697709E-3</v>
      </c>
      <c r="M561" s="28">
        <v>0</v>
      </c>
      <c r="N561" s="28">
        <v>1</v>
      </c>
      <c r="O561" s="28">
        <v>1</v>
      </c>
      <c r="P561" s="28">
        <v>1</v>
      </c>
      <c r="Q561" s="29">
        <v>8</v>
      </c>
    </row>
    <row r="562" spans="1:17" x14ac:dyDescent="0.3">
      <c r="A562" s="15">
        <v>560</v>
      </c>
      <c r="B562" s="36">
        <v>1</v>
      </c>
      <c r="C562" s="5">
        <v>1</v>
      </c>
      <c r="D562" s="5">
        <v>0</v>
      </c>
      <c r="E562" s="9">
        <v>61</v>
      </c>
      <c r="F562" s="9">
        <v>1</v>
      </c>
      <c r="G562" s="9">
        <v>6.4</v>
      </c>
      <c r="H562" s="9">
        <f>CONVERT(562,"ft","m")*100</f>
        <v>17129.759999999998</v>
      </c>
      <c r="I562" s="9">
        <f t="shared" si="18"/>
        <v>171.29759999999999</v>
      </c>
      <c r="J562" s="9">
        <f>I562*I562</f>
        <v>29342.867765759995</v>
      </c>
      <c r="K562" s="9">
        <v>80</v>
      </c>
      <c r="L562" s="7">
        <f t="shared" si="17"/>
        <v>2.7263865494889183E-3</v>
      </c>
      <c r="M562" s="28">
        <v>0</v>
      </c>
      <c r="N562" s="28">
        <v>1</v>
      </c>
      <c r="O562" s="28">
        <v>1</v>
      </c>
      <c r="P562" s="28">
        <v>1</v>
      </c>
      <c r="Q562" s="29">
        <v>11</v>
      </c>
    </row>
    <row r="563" spans="1:17" x14ac:dyDescent="0.3">
      <c r="A563" s="15">
        <v>561</v>
      </c>
      <c r="B563" s="36">
        <v>1</v>
      </c>
      <c r="C563" s="5">
        <v>1</v>
      </c>
      <c r="D563" s="5">
        <v>0</v>
      </c>
      <c r="E563" s="9">
        <v>55</v>
      </c>
      <c r="F563" s="9">
        <v>1</v>
      </c>
      <c r="G563" s="9">
        <v>5.8</v>
      </c>
      <c r="H563" s="9">
        <f>CONVERT(563,"ft","m")*100</f>
        <v>17160.239999999998</v>
      </c>
      <c r="I563" s="9">
        <f t="shared" si="18"/>
        <v>171.60239999999999</v>
      </c>
      <c r="J563" s="9">
        <f>I563*I563</f>
        <v>29447.383685759996</v>
      </c>
      <c r="K563" s="9">
        <v>65</v>
      </c>
      <c r="L563" s="7">
        <f t="shared" si="17"/>
        <v>2.2073268271854095E-3</v>
      </c>
      <c r="M563" s="28">
        <v>0</v>
      </c>
      <c r="N563" s="28">
        <v>2</v>
      </c>
      <c r="O563" s="28">
        <v>1</v>
      </c>
      <c r="P563" s="28">
        <v>1</v>
      </c>
      <c r="Q563" s="29">
        <v>9</v>
      </c>
    </row>
    <row r="564" spans="1:17" x14ac:dyDescent="0.3">
      <c r="A564" s="15">
        <v>562</v>
      </c>
      <c r="B564" s="36">
        <v>1</v>
      </c>
      <c r="C564" s="5">
        <v>1</v>
      </c>
      <c r="D564" s="5">
        <v>0</v>
      </c>
      <c r="E564" s="9">
        <v>38</v>
      </c>
      <c r="F564" s="9">
        <v>1</v>
      </c>
      <c r="G564" s="9">
        <v>5.4</v>
      </c>
      <c r="H564" s="9">
        <f>CONVERT(564,"ft","m")*100</f>
        <v>17190.719999999998</v>
      </c>
      <c r="I564" s="9">
        <f t="shared" si="18"/>
        <v>171.90719999999999</v>
      </c>
      <c r="J564" s="9">
        <f>I564*I564</f>
        <v>29552.085411839995</v>
      </c>
      <c r="K564" s="9">
        <v>60</v>
      </c>
      <c r="L564" s="7">
        <f t="shared" si="17"/>
        <v>2.0303135688678371E-3</v>
      </c>
      <c r="M564" s="28">
        <v>0</v>
      </c>
      <c r="N564" s="28">
        <v>2</v>
      </c>
      <c r="O564" s="28">
        <v>1</v>
      </c>
      <c r="P564" s="28">
        <v>1</v>
      </c>
      <c r="Q564" s="29">
        <v>8.6</v>
      </c>
    </row>
    <row r="565" spans="1:17" x14ac:dyDescent="0.3">
      <c r="A565" s="15">
        <v>563</v>
      </c>
      <c r="B565" s="36">
        <v>1</v>
      </c>
      <c r="C565" s="5">
        <v>1</v>
      </c>
      <c r="D565" s="5">
        <v>1</v>
      </c>
      <c r="E565" s="9">
        <v>38</v>
      </c>
      <c r="F565" s="9">
        <v>1</v>
      </c>
      <c r="G565" s="9">
        <v>5.4</v>
      </c>
      <c r="H565" s="9">
        <f>CONVERT(565,"ft","m")*100</f>
        <v>17221.199999999997</v>
      </c>
      <c r="I565" s="9">
        <f t="shared" si="18"/>
        <v>172.21199999999996</v>
      </c>
      <c r="J565" s="9">
        <f>I565*I565</f>
        <v>29656.972943999986</v>
      </c>
      <c r="K565" s="9">
        <v>70</v>
      </c>
      <c r="L565" s="7">
        <f t="shared" si="17"/>
        <v>2.3603218080340852E-3</v>
      </c>
      <c r="M565" s="28">
        <v>0</v>
      </c>
      <c r="N565" s="28">
        <v>2</v>
      </c>
      <c r="O565" s="28">
        <v>1</v>
      </c>
      <c r="P565" s="28">
        <v>1</v>
      </c>
      <c r="Q565" s="29">
        <v>8.6</v>
      </c>
    </row>
    <row r="566" spans="1:17" x14ac:dyDescent="0.3">
      <c r="A566" s="15">
        <v>564</v>
      </c>
      <c r="B566" s="36">
        <v>1</v>
      </c>
      <c r="C566" s="5">
        <v>1</v>
      </c>
      <c r="D566" s="5">
        <v>1</v>
      </c>
      <c r="E566" s="9">
        <v>26</v>
      </c>
      <c r="F566" s="9">
        <v>1</v>
      </c>
      <c r="G566" s="9">
        <v>4.9000000000000004</v>
      </c>
      <c r="H566" s="9">
        <f>CONVERT(566,"ft","m")*100</f>
        <v>17251.68</v>
      </c>
      <c r="I566" s="9">
        <f t="shared" si="18"/>
        <v>172.51679999999999</v>
      </c>
      <c r="J566" s="9">
        <f>I566*I566</f>
        <v>29762.046282239997</v>
      </c>
      <c r="K566" s="9">
        <v>50</v>
      </c>
      <c r="L566" s="7">
        <f t="shared" si="17"/>
        <v>1.6799920114981025E-3</v>
      </c>
      <c r="M566" s="28">
        <v>0</v>
      </c>
      <c r="N566" s="28">
        <v>2</v>
      </c>
      <c r="O566" s="28">
        <v>1</v>
      </c>
      <c r="P566" s="28">
        <v>1</v>
      </c>
      <c r="Q566" s="29">
        <v>8.6</v>
      </c>
    </row>
    <row r="567" spans="1:17" x14ac:dyDescent="0.3">
      <c r="A567" s="15">
        <v>565</v>
      </c>
      <c r="B567" s="36">
        <v>1</v>
      </c>
      <c r="C567" s="5">
        <v>1</v>
      </c>
      <c r="D567" s="5">
        <v>1</v>
      </c>
      <c r="E567" s="9">
        <v>41</v>
      </c>
      <c r="F567" s="9">
        <v>17</v>
      </c>
      <c r="G567" s="9">
        <v>5.9</v>
      </c>
      <c r="H567" s="9">
        <f>CONVERT(567,"ft","m")*100</f>
        <v>17282.16</v>
      </c>
      <c r="I567" s="9">
        <f t="shared" si="18"/>
        <v>172.82159999999999</v>
      </c>
      <c r="J567" s="9">
        <f>I567*I567</f>
        <v>29867.305426559997</v>
      </c>
      <c r="K567" s="9">
        <v>65</v>
      </c>
      <c r="L567" s="7">
        <f t="shared" si="17"/>
        <v>2.1762927412326146E-3</v>
      </c>
      <c r="M567" s="28">
        <v>0</v>
      </c>
      <c r="N567" s="28">
        <v>2</v>
      </c>
      <c r="O567" s="28">
        <v>1</v>
      </c>
      <c r="P567" s="28">
        <v>1</v>
      </c>
      <c r="Q567" s="29">
        <v>8.6</v>
      </c>
    </row>
    <row r="568" spans="1:17" x14ac:dyDescent="0.3">
      <c r="A568" s="15">
        <v>566</v>
      </c>
      <c r="B568" s="36">
        <v>1</v>
      </c>
      <c r="C568" s="5">
        <v>1</v>
      </c>
      <c r="D568" s="5">
        <v>0</v>
      </c>
      <c r="E568" s="9">
        <v>38</v>
      </c>
      <c r="F568" s="9">
        <v>1</v>
      </c>
      <c r="G568" s="9">
        <v>5.8</v>
      </c>
      <c r="H568" s="9">
        <f>CONVERT(568,"ft","m")*100</f>
        <v>17312.64</v>
      </c>
      <c r="I568" s="9">
        <f t="shared" si="18"/>
        <v>173.12639999999999</v>
      </c>
      <c r="J568" s="9">
        <f>I568*I568</f>
        <v>29972.750376959997</v>
      </c>
      <c r="K568" s="9">
        <v>55</v>
      </c>
      <c r="L568" s="7">
        <f t="shared" si="17"/>
        <v>1.8350001020352943E-3</v>
      </c>
      <c r="M568" s="28">
        <v>0</v>
      </c>
      <c r="N568" s="28">
        <v>2</v>
      </c>
      <c r="O568" s="28">
        <v>0</v>
      </c>
      <c r="P568" s="28">
        <v>1</v>
      </c>
      <c r="Q568" s="29">
        <v>8.6</v>
      </c>
    </row>
    <row r="569" spans="1:17" x14ac:dyDescent="0.3">
      <c r="A569" s="15">
        <v>567</v>
      </c>
      <c r="B569" s="36">
        <v>1</v>
      </c>
      <c r="C569" s="5">
        <v>1</v>
      </c>
      <c r="D569" s="5">
        <v>0</v>
      </c>
      <c r="E569" s="9">
        <v>37</v>
      </c>
      <c r="F569" s="9">
        <v>1</v>
      </c>
      <c r="G569" s="9">
        <v>5.7</v>
      </c>
      <c r="H569" s="9">
        <f>CONVERT(569,"ft","m")*100</f>
        <v>17343.12</v>
      </c>
      <c r="I569" s="9">
        <f t="shared" si="18"/>
        <v>173.43119999999999</v>
      </c>
      <c r="J569" s="9">
        <f>I569*I569</f>
        <v>30078.381133439998</v>
      </c>
      <c r="K569" s="9">
        <v>50</v>
      </c>
      <c r="L569" s="7">
        <f t="shared" si="17"/>
        <v>1.6623235066468357E-3</v>
      </c>
      <c r="M569" s="28">
        <v>0</v>
      </c>
      <c r="N569" s="28">
        <v>2</v>
      </c>
      <c r="O569" s="28">
        <v>0</v>
      </c>
      <c r="P569" s="28">
        <v>1</v>
      </c>
      <c r="Q569" s="29">
        <v>8.6</v>
      </c>
    </row>
    <row r="570" spans="1:17" x14ac:dyDescent="0.3">
      <c r="A570" s="15">
        <v>568</v>
      </c>
      <c r="B570" s="36">
        <v>1</v>
      </c>
      <c r="C570" s="5">
        <v>1</v>
      </c>
      <c r="D570" s="5">
        <v>0</v>
      </c>
      <c r="E570" s="9">
        <v>46</v>
      </c>
      <c r="F570" s="9">
        <v>1</v>
      </c>
      <c r="G570" s="9">
        <v>5.4</v>
      </c>
      <c r="H570" s="9">
        <f>CONVERT(570,"ft","m")*100</f>
        <v>17373.599999999999</v>
      </c>
      <c r="I570" s="9">
        <f t="shared" si="18"/>
        <v>173.73599999999999</v>
      </c>
      <c r="J570" s="9">
        <f>I570*I570</f>
        <v>30184.197695999996</v>
      </c>
      <c r="K570" s="9">
        <v>60</v>
      </c>
      <c r="L570" s="7">
        <f t="shared" si="17"/>
        <v>1.98779509080512E-3</v>
      </c>
      <c r="M570" s="28">
        <v>0</v>
      </c>
      <c r="N570" s="28">
        <v>2</v>
      </c>
      <c r="O570" s="28">
        <v>0</v>
      </c>
      <c r="P570" s="28">
        <v>1</v>
      </c>
      <c r="Q570" s="29">
        <v>7.4</v>
      </c>
    </row>
    <row r="571" spans="1:17" x14ac:dyDescent="0.3">
      <c r="A571" s="15">
        <v>569</v>
      </c>
      <c r="B571" s="36">
        <v>1</v>
      </c>
      <c r="C571" s="5">
        <v>1</v>
      </c>
      <c r="D571" s="5">
        <v>0</v>
      </c>
      <c r="E571" s="9">
        <v>50</v>
      </c>
      <c r="F571" s="9">
        <v>5</v>
      </c>
      <c r="G571" s="9">
        <v>6.3</v>
      </c>
      <c r="H571" s="9">
        <f>CONVERT(571,"ft","m")*100</f>
        <v>17404.079999999998</v>
      </c>
      <c r="I571" s="9">
        <f t="shared" si="18"/>
        <v>174.04079999999999</v>
      </c>
      <c r="J571" s="9">
        <f>I571*I571</f>
        <v>30290.200064639997</v>
      </c>
      <c r="K571" s="9">
        <v>65</v>
      </c>
      <c r="L571" s="7">
        <f t="shared" si="17"/>
        <v>2.1459085731123755E-3</v>
      </c>
      <c r="M571" s="28">
        <v>0</v>
      </c>
      <c r="N571" s="28">
        <v>2</v>
      </c>
      <c r="O571" s="28">
        <v>0</v>
      </c>
      <c r="P571" s="28">
        <v>1</v>
      </c>
      <c r="Q571" s="29">
        <v>7.4</v>
      </c>
    </row>
    <row r="572" spans="1:17" x14ac:dyDescent="0.3">
      <c r="A572" s="15">
        <v>570</v>
      </c>
      <c r="B572" s="36">
        <v>1</v>
      </c>
      <c r="C572" s="5">
        <v>1</v>
      </c>
      <c r="D572" s="5">
        <v>0</v>
      </c>
      <c r="E572" s="9">
        <v>25</v>
      </c>
      <c r="F572" s="9">
        <v>1</v>
      </c>
      <c r="G572" s="9">
        <v>4.3</v>
      </c>
      <c r="H572" s="9">
        <f>CONVERT(572,"ft","m")*100</f>
        <v>17434.559999999998</v>
      </c>
      <c r="I572" s="9">
        <f t="shared" si="18"/>
        <v>174.34559999999999</v>
      </c>
      <c r="J572" s="9">
        <f>I572*I572</f>
        <v>30396.388239359996</v>
      </c>
      <c r="K572" s="9">
        <v>50</v>
      </c>
      <c r="L572" s="7">
        <f t="shared" si="17"/>
        <v>1.6449322730802429E-3</v>
      </c>
      <c r="M572" s="28">
        <v>0</v>
      </c>
      <c r="N572" s="28">
        <v>0</v>
      </c>
      <c r="O572" s="28">
        <v>0</v>
      </c>
      <c r="P572" s="28">
        <v>1</v>
      </c>
      <c r="Q572" s="29">
        <v>7.4</v>
      </c>
    </row>
    <row r="573" spans="1:17" x14ac:dyDescent="0.3">
      <c r="A573" s="15">
        <v>571</v>
      </c>
      <c r="B573" s="36">
        <v>1</v>
      </c>
      <c r="C573" s="5">
        <v>1</v>
      </c>
      <c r="D573" s="5">
        <v>0</v>
      </c>
      <c r="E573" s="9">
        <v>39</v>
      </c>
      <c r="F573" s="9">
        <v>1</v>
      </c>
      <c r="G573" s="9">
        <v>5.4</v>
      </c>
      <c r="H573" s="9">
        <f>CONVERT(573,"ft","m")*100</f>
        <v>17465.04</v>
      </c>
      <c r="I573" s="9">
        <f t="shared" si="18"/>
        <v>174.65040000000002</v>
      </c>
      <c r="J573" s="9">
        <f>I573*I573</f>
        <v>30502.762220160006</v>
      </c>
      <c r="K573" s="9">
        <v>65</v>
      </c>
      <c r="L573" s="7">
        <f t="shared" si="17"/>
        <v>2.1309545519467721E-3</v>
      </c>
      <c r="M573" s="28">
        <v>0</v>
      </c>
      <c r="N573" s="28">
        <v>0</v>
      </c>
      <c r="O573" s="28">
        <v>0</v>
      </c>
      <c r="P573" s="28">
        <v>1</v>
      </c>
      <c r="Q573" s="29">
        <v>7.4</v>
      </c>
    </row>
    <row r="574" spans="1:17" x14ac:dyDescent="0.3">
      <c r="A574" s="15">
        <v>572</v>
      </c>
      <c r="B574" s="36">
        <v>1</v>
      </c>
      <c r="C574" s="5">
        <v>1</v>
      </c>
      <c r="D574" s="5">
        <v>0</v>
      </c>
      <c r="E574" s="9">
        <v>28</v>
      </c>
      <c r="F574" s="9">
        <v>8</v>
      </c>
      <c r="G574" s="9">
        <v>5.8</v>
      </c>
      <c r="H574" s="9">
        <f>CONVERT(574,"ft","m")*100</f>
        <v>17495.52</v>
      </c>
      <c r="I574" s="9">
        <f t="shared" si="18"/>
        <v>174.95519999999999</v>
      </c>
      <c r="J574" s="9">
        <f>I574*I574</f>
        <v>30609.322007039998</v>
      </c>
      <c r="K574" s="9">
        <v>50</v>
      </c>
      <c r="L574" s="7">
        <f t="shared" si="17"/>
        <v>1.6334893006940904E-3</v>
      </c>
      <c r="M574" s="28">
        <v>2</v>
      </c>
      <c r="N574" s="28">
        <v>2</v>
      </c>
      <c r="O574" s="28">
        <v>0</v>
      </c>
      <c r="P574" s="28">
        <v>1</v>
      </c>
      <c r="Q574" s="29">
        <v>7.4</v>
      </c>
    </row>
    <row r="575" spans="1:17" x14ac:dyDescent="0.3">
      <c r="A575" s="15">
        <v>573</v>
      </c>
      <c r="B575" s="36">
        <v>1</v>
      </c>
      <c r="C575" s="5">
        <v>1</v>
      </c>
      <c r="D575" s="5">
        <v>1</v>
      </c>
      <c r="E575" s="9">
        <v>22</v>
      </c>
      <c r="F575" s="9">
        <v>8</v>
      </c>
      <c r="G575" s="9">
        <v>5.3</v>
      </c>
      <c r="H575" s="9">
        <f>CONVERT(575,"ft","m")*100</f>
        <v>17526</v>
      </c>
      <c r="I575" s="9">
        <f t="shared" si="18"/>
        <v>175.26</v>
      </c>
      <c r="J575" s="9">
        <f>I575*I575</f>
        <v>30716.067599999998</v>
      </c>
      <c r="K575" s="9">
        <v>40</v>
      </c>
      <c r="L575" s="7">
        <f t="shared" si="17"/>
        <v>1.3022500315111952E-3</v>
      </c>
      <c r="M575" s="28">
        <v>0</v>
      </c>
      <c r="N575" s="28">
        <v>0</v>
      </c>
      <c r="O575" s="28">
        <v>0</v>
      </c>
      <c r="P575" s="28">
        <v>1</v>
      </c>
      <c r="Q575" s="29">
        <v>7.4</v>
      </c>
    </row>
    <row r="576" spans="1:17" x14ac:dyDescent="0.3">
      <c r="A576" s="15">
        <v>574</v>
      </c>
      <c r="B576" s="36">
        <v>1</v>
      </c>
      <c r="C576" s="5">
        <v>1</v>
      </c>
      <c r="D576" s="5">
        <v>0</v>
      </c>
      <c r="E576" s="9">
        <v>35</v>
      </c>
      <c r="F576" s="9">
        <v>1</v>
      </c>
      <c r="G576" s="9">
        <v>6.1</v>
      </c>
      <c r="H576" s="9">
        <f>CONVERT(576,"ft","m")*100</f>
        <v>17556.48</v>
      </c>
      <c r="I576" s="9">
        <f t="shared" si="18"/>
        <v>175.56479999999999</v>
      </c>
      <c r="J576" s="9">
        <f>I576*I576</f>
        <v>30822.998999039995</v>
      </c>
      <c r="K576" s="9">
        <v>50</v>
      </c>
      <c r="L576" s="7">
        <f t="shared" si="17"/>
        <v>1.6221653188762484E-3</v>
      </c>
      <c r="M576" s="28">
        <v>0</v>
      </c>
      <c r="N576" s="28">
        <v>0</v>
      </c>
      <c r="O576" s="28">
        <v>0</v>
      </c>
      <c r="P576" s="28">
        <v>1</v>
      </c>
      <c r="Q576" s="29">
        <v>7.4</v>
      </c>
    </row>
    <row r="577" spans="1:17" x14ac:dyDescent="0.3">
      <c r="A577" s="15">
        <v>575</v>
      </c>
      <c r="B577" s="36">
        <v>1</v>
      </c>
      <c r="C577" s="5">
        <v>1</v>
      </c>
      <c r="D577" s="5">
        <v>0</v>
      </c>
      <c r="E577" s="9">
        <v>44</v>
      </c>
      <c r="F577" s="9">
        <v>1</v>
      </c>
      <c r="G577" s="9">
        <v>6.4</v>
      </c>
      <c r="H577" s="9">
        <f>CONVERT(577,"ft","m")*100</f>
        <v>17586.96</v>
      </c>
      <c r="I577" s="9">
        <f t="shared" si="18"/>
        <v>175.86959999999999</v>
      </c>
      <c r="J577" s="9">
        <f>I577*I577</f>
        <v>30930.116204159996</v>
      </c>
      <c r="K577" s="9">
        <v>60</v>
      </c>
      <c r="L577" s="7">
        <f t="shared" si="17"/>
        <v>1.9398569214534732E-3</v>
      </c>
      <c r="M577" s="28">
        <v>0</v>
      </c>
      <c r="N577" s="28">
        <v>0</v>
      </c>
      <c r="O577" s="28">
        <v>0</v>
      </c>
      <c r="P577" s="28">
        <v>1</v>
      </c>
      <c r="Q577" s="29">
        <v>7.4</v>
      </c>
    </row>
    <row r="578" spans="1:17" x14ac:dyDescent="0.3">
      <c r="A578" s="15">
        <v>576</v>
      </c>
      <c r="B578" s="36">
        <v>1</v>
      </c>
      <c r="C578" s="5">
        <v>1</v>
      </c>
      <c r="D578" s="5">
        <v>1</v>
      </c>
      <c r="E578" s="9">
        <v>39</v>
      </c>
      <c r="F578" s="9">
        <v>1</v>
      </c>
      <c r="G578" s="9">
        <v>5.6</v>
      </c>
      <c r="H578" s="9">
        <f>CONVERT(578,"ft","m")*100</f>
        <v>17617.439999999999</v>
      </c>
      <c r="I578" s="9">
        <f t="shared" si="18"/>
        <v>176.17439999999999</v>
      </c>
      <c r="J578" s="9">
        <f>I578*I578</f>
        <v>31037.419215359998</v>
      </c>
      <c r="K578" s="9">
        <v>65</v>
      </c>
      <c r="L578" s="7">
        <f t="shared" ref="L578:L617" si="19">K578/J578</f>
        <v>2.0942462886164317E-3</v>
      </c>
      <c r="M578" s="19">
        <v>1</v>
      </c>
      <c r="N578" s="28">
        <v>0</v>
      </c>
      <c r="O578" s="28">
        <v>0</v>
      </c>
      <c r="P578" s="28">
        <v>0</v>
      </c>
      <c r="Q578" s="29">
        <v>7</v>
      </c>
    </row>
    <row r="579" spans="1:17" x14ac:dyDescent="0.3">
      <c r="A579" s="15">
        <v>577</v>
      </c>
      <c r="B579" s="36">
        <v>1</v>
      </c>
      <c r="C579" s="5">
        <v>1</v>
      </c>
      <c r="D579" s="5">
        <v>0</v>
      </c>
      <c r="E579" s="9">
        <v>33</v>
      </c>
      <c r="F579" s="9">
        <v>1</v>
      </c>
      <c r="G579" s="9">
        <v>5.7</v>
      </c>
      <c r="H579" s="9">
        <f>CONVERT(579,"ft","m")*100</f>
        <v>17647.919999999998</v>
      </c>
      <c r="I579" s="9">
        <f t="shared" si="18"/>
        <v>176.47919999999999</v>
      </c>
      <c r="J579" s="9">
        <f>I579*I579</f>
        <v>31144.908032639996</v>
      </c>
      <c r="K579" s="9">
        <v>55</v>
      </c>
      <c r="L579" s="7">
        <f t="shared" si="19"/>
        <v>1.7659387512835088E-3</v>
      </c>
      <c r="M579" s="19">
        <v>1</v>
      </c>
      <c r="N579" s="28">
        <v>0</v>
      </c>
      <c r="O579" s="28">
        <v>0</v>
      </c>
      <c r="P579" s="28">
        <v>0</v>
      </c>
      <c r="Q579" s="29">
        <v>7</v>
      </c>
    </row>
    <row r="580" spans="1:17" x14ac:dyDescent="0.3">
      <c r="A580" s="15">
        <v>578</v>
      </c>
      <c r="B580" s="36">
        <v>1</v>
      </c>
      <c r="C580" s="5">
        <v>1</v>
      </c>
      <c r="D580" s="5">
        <v>0</v>
      </c>
      <c r="E580" s="9">
        <v>20</v>
      </c>
      <c r="F580" s="9">
        <v>4</v>
      </c>
      <c r="G580" s="9">
        <v>5.4</v>
      </c>
      <c r="H580" s="9">
        <f>CONVERT(580,"ft","m")*100</f>
        <v>17678.399999999998</v>
      </c>
      <c r="I580" s="9">
        <f t="shared" si="18"/>
        <v>176.78399999999999</v>
      </c>
      <c r="J580" s="9">
        <f>I580*I580</f>
        <v>31252.582655999999</v>
      </c>
      <c r="K580" s="9">
        <v>30</v>
      </c>
      <c r="L580" s="7">
        <f t="shared" si="19"/>
        <v>9.5992066736412507E-4</v>
      </c>
      <c r="M580" s="19">
        <v>1</v>
      </c>
      <c r="N580" s="28">
        <v>0</v>
      </c>
      <c r="O580" s="28">
        <v>0</v>
      </c>
      <c r="P580" s="28">
        <v>0</v>
      </c>
      <c r="Q580" s="29">
        <v>6</v>
      </c>
    </row>
    <row r="581" spans="1:17" x14ac:dyDescent="0.3">
      <c r="A581" s="15">
        <v>579</v>
      </c>
      <c r="B581" s="36">
        <v>1</v>
      </c>
      <c r="C581" s="5">
        <v>1</v>
      </c>
      <c r="D581" s="5">
        <v>1</v>
      </c>
      <c r="E581" s="9">
        <v>23</v>
      </c>
      <c r="F581" s="9">
        <v>4</v>
      </c>
      <c r="G581" s="9">
        <v>5.0999999999999996</v>
      </c>
      <c r="H581" s="9">
        <f>CONVERT(581,"ft","m")*100</f>
        <v>17708.879999999997</v>
      </c>
      <c r="I581" s="9">
        <f t="shared" si="18"/>
        <v>177.08879999999996</v>
      </c>
      <c r="J581" s="9">
        <f>I581*I581</f>
        <v>31360.443085439987</v>
      </c>
      <c r="K581" s="9">
        <v>23</v>
      </c>
      <c r="L581" s="7">
        <f t="shared" si="19"/>
        <v>7.3340800502523604E-4</v>
      </c>
      <c r="M581" s="19">
        <v>1</v>
      </c>
      <c r="N581" s="28">
        <v>0</v>
      </c>
      <c r="O581" s="28">
        <v>0</v>
      </c>
      <c r="P581" s="28">
        <v>0</v>
      </c>
      <c r="Q581" s="29">
        <v>6.5</v>
      </c>
    </row>
    <row r="582" spans="1:17" x14ac:dyDescent="0.3">
      <c r="A582" s="15">
        <v>580</v>
      </c>
      <c r="B582" s="36">
        <v>1</v>
      </c>
      <c r="C582" s="5">
        <v>1</v>
      </c>
      <c r="D582" s="5">
        <v>1</v>
      </c>
      <c r="E582" s="9">
        <v>43</v>
      </c>
      <c r="F582" s="9">
        <v>14</v>
      </c>
      <c r="G582" s="9">
        <v>6.2</v>
      </c>
      <c r="H582" s="9">
        <f>CONVERT(582,"ft","m")*100</f>
        <v>17739.36</v>
      </c>
      <c r="I582" s="9">
        <f t="shared" si="18"/>
        <v>177.39359999999999</v>
      </c>
      <c r="J582" s="9">
        <f>I582*I582</f>
        <v>31468.489320959998</v>
      </c>
      <c r="K582" s="9">
        <v>60</v>
      </c>
      <c r="L582" s="7">
        <f t="shared" si="19"/>
        <v>1.9066692203758321E-3</v>
      </c>
      <c r="M582" s="19">
        <v>1</v>
      </c>
      <c r="N582" s="28">
        <v>0</v>
      </c>
      <c r="O582" s="28">
        <v>0</v>
      </c>
      <c r="P582" s="28">
        <v>0</v>
      </c>
      <c r="Q582" s="29">
        <v>8.3000000000000007</v>
      </c>
    </row>
    <row r="583" spans="1:17" x14ac:dyDescent="0.3">
      <c r="A583" s="15">
        <v>581</v>
      </c>
      <c r="B583" s="36">
        <v>1</v>
      </c>
      <c r="C583" s="5">
        <v>1</v>
      </c>
      <c r="D583" s="5">
        <v>0</v>
      </c>
      <c r="E583" s="9">
        <v>32</v>
      </c>
      <c r="F583" s="9">
        <v>4</v>
      </c>
      <c r="G583" s="9">
        <v>5.8</v>
      </c>
      <c r="H583" s="9">
        <f>CONVERT(583,"ft","m")*100</f>
        <v>17769.84</v>
      </c>
      <c r="I583" s="9">
        <f t="shared" si="18"/>
        <v>177.69839999999999</v>
      </c>
      <c r="J583" s="9">
        <f>I583*I583</f>
        <v>31576.721362559998</v>
      </c>
      <c r="K583" s="9">
        <v>55</v>
      </c>
      <c r="L583" s="7">
        <f t="shared" si="19"/>
        <v>1.7417894457279722E-3</v>
      </c>
      <c r="M583" s="19">
        <v>1</v>
      </c>
      <c r="N583" s="28">
        <v>0</v>
      </c>
      <c r="O583" s="28">
        <v>0</v>
      </c>
      <c r="P583" s="28">
        <v>0</v>
      </c>
      <c r="Q583" s="29">
        <v>8.3000000000000007</v>
      </c>
    </row>
    <row r="584" spans="1:17" x14ac:dyDescent="0.3">
      <c r="A584" s="15">
        <v>582</v>
      </c>
      <c r="B584" s="36">
        <v>1</v>
      </c>
      <c r="C584" s="5">
        <v>1</v>
      </c>
      <c r="D584" s="5">
        <v>0</v>
      </c>
      <c r="E584" s="9">
        <v>45</v>
      </c>
      <c r="F584" s="9">
        <v>1</v>
      </c>
      <c r="G584" s="9">
        <v>5.9</v>
      </c>
      <c r="H584" s="9">
        <f>CONVERT(584,"ft","m")*100</f>
        <v>17800.32</v>
      </c>
      <c r="I584" s="9">
        <f t="shared" si="18"/>
        <v>178.00319999999999</v>
      </c>
      <c r="J584" s="9">
        <f>I584*I584</f>
        <v>31685.139210239999</v>
      </c>
      <c r="K584" s="9">
        <v>60</v>
      </c>
      <c r="L584" s="7">
        <f t="shared" si="19"/>
        <v>1.8936322041030898E-3</v>
      </c>
      <c r="M584" s="19">
        <v>1</v>
      </c>
      <c r="N584" s="28">
        <v>0</v>
      </c>
      <c r="O584" s="28">
        <v>0</v>
      </c>
      <c r="P584" s="28">
        <v>0</v>
      </c>
      <c r="Q584" s="29">
        <v>8.3000000000000007</v>
      </c>
    </row>
    <row r="585" spans="1:17" x14ac:dyDescent="0.3">
      <c r="A585" s="15">
        <v>583</v>
      </c>
      <c r="B585" s="36">
        <v>1</v>
      </c>
      <c r="C585" s="5">
        <v>1</v>
      </c>
      <c r="D585" s="5">
        <v>0</v>
      </c>
      <c r="E585" s="9">
        <v>56</v>
      </c>
      <c r="F585" s="9">
        <v>8</v>
      </c>
      <c r="G585" s="9">
        <v>5.7</v>
      </c>
      <c r="H585" s="9">
        <f>CONVERT(585,"ft","m")*100</f>
        <v>17830.8</v>
      </c>
      <c r="I585" s="9">
        <f t="shared" si="18"/>
        <v>178.30799999999999</v>
      </c>
      <c r="J585" s="9">
        <f>I585*I585</f>
        <v>31793.742863999996</v>
      </c>
      <c r="K585" s="9">
        <v>70</v>
      </c>
      <c r="L585" s="7">
        <f t="shared" si="19"/>
        <v>2.2016910780033039E-3</v>
      </c>
      <c r="M585" s="28">
        <v>0</v>
      </c>
      <c r="N585" s="28">
        <v>0</v>
      </c>
      <c r="O585" s="28">
        <v>0</v>
      </c>
      <c r="P585" s="28">
        <v>0</v>
      </c>
      <c r="Q585" s="29">
        <v>8.8000000000000007</v>
      </c>
    </row>
    <row r="586" spans="1:17" x14ac:dyDescent="0.3">
      <c r="A586" s="15">
        <v>584</v>
      </c>
      <c r="B586" s="36">
        <v>1</v>
      </c>
      <c r="C586" s="5">
        <v>1</v>
      </c>
      <c r="D586" s="5">
        <v>1</v>
      </c>
      <c r="E586" s="9">
        <v>36</v>
      </c>
      <c r="F586" s="9">
        <v>1</v>
      </c>
      <c r="G586" s="9">
        <v>5.3</v>
      </c>
      <c r="H586" s="9">
        <f>CONVERT(586,"ft","m")*100</f>
        <v>17861.28</v>
      </c>
      <c r="I586" s="9">
        <f t="shared" si="18"/>
        <v>178.61279999999999</v>
      </c>
      <c r="J586" s="9">
        <f>I586*I586</f>
        <v>31902.532323839998</v>
      </c>
      <c r="K586" s="9">
        <v>55</v>
      </c>
      <c r="L586" s="7">
        <f t="shared" si="19"/>
        <v>1.72400107432537E-3</v>
      </c>
      <c r="M586" s="28">
        <v>0</v>
      </c>
      <c r="N586" s="28">
        <v>0</v>
      </c>
      <c r="O586" s="28">
        <v>0</v>
      </c>
      <c r="P586" s="28">
        <v>0</v>
      </c>
      <c r="Q586" s="29">
        <v>8.3000000000000007</v>
      </c>
    </row>
    <row r="587" spans="1:17" x14ac:dyDescent="0.3">
      <c r="A587" s="15">
        <v>585</v>
      </c>
      <c r="B587" s="36">
        <v>1</v>
      </c>
      <c r="C587" s="5">
        <v>0</v>
      </c>
      <c r="D587" s="5">
        <v>1</v>
      </c>
      <c r="E587" s="9">
        <v>48</v>
      </c>
      <c r="F587" s="9">
        <v>11</v>
      </c>
      <c r="G587" s="9">
        <v>6.2</v>
      </c>
      <c r="H587" s="9">
        <f>CONVERT(587,"ft","m")*100</f>
        <v>17891.759999999998</v>
      </c>
      <c r="I587" s="9">
        <f t="shared" si="18"/>
        <v>178.91759999999999</v>
      </c>
      <c r="J587" s="9">
        <f>I587*I587</f>
        <v>32011.507589759996</v>
      </c>
      <c r="K587" s="9">
        <v>60</v>
      </c>
      <c r="L587" s="7">
        <f t="shared" si="19"/>
        <v>1.8743259695520589E-3</v>
      </c>
      <c r="M587" s="28">
        <v>0</v>
      </c>
      <c r="N587" s="28">
        <v>0</v>
      </c>
      <c r="O587" s="28">
        <v>0</v>
      </c>
      <c r="P587" s="28">
        <v>0</v>
      </c>
      <c r="Q587" s="29">
        <v>8.1999999999999993</v>
      </c>
    </row>
    <row r="588" spans="1:17" x14ac:dyDescent="0.3">
      <c r="A588" s="15">
        <v>586</v>
      </c>
      <c r="B588" s="36">
        <v>1</v>
      </c>
      <c r="C588" s="5">
        <v>0</v>
      </c>
      <c r="D588" s="5">
        <v>0</v>
      </c>
      <c r="E588" s="9">
        <v>56</v>
      </c>
      <c r="F588" s="9">
        <v>1</v>
      </c>
      <c r="G588" s="9">
        <v>6.4</v>
      </c>
      <c r="H588" s="9">
        <f>CONVERT(588,"ft","m")*100</f>
        <v>17922.239999999998</v>
      </c>
      <c r="I588" s="9">
        <f t="shared" si="18"/>
        <v>179.22239999999999</v>
      </c>
      <c r="J588" s="9">
        <f>I588*I588</f>
        <v>32120.668661759999</v>
      </c>
      <c r="K588" s="9">
        <v>75</v>
      </c>
      <c r="L588" s="7">
        <f t="shared" si="19"/>
        <v>2.3349451653628963E-3</v>
      </c>
      <c r="M588" s="28">
        <v>0</v>
      </c>
      <c r="N588" s="28">
        <v>0</v>
      </c>
      <c r="O588" s="28">
        <v>1</v>
      </c>
      <c r="P588" s="28">
        <v>0</v>
      </c>
      <c r="Q588" s="29">
        <v>8.3000000000000007</v>
      </c>
    </row>
    <row r="589" spans="1:17" x14ac:dyDescent="0.3">
      <c r="A589" s="15">
        <v>587</v>
      </c>
      <c r="B589" s="36">
        <v>1</v>
      </c>
      <c r="C589" s="5">
        <v>0</v>
      </c>
      <c r="D589" s="5">
        <v>1</v>
      </c>
      <c r="E589" s="9">
        <v>17</v>
      </c>
      <c r="F589" s="9">
        <v>1</v>
      </c>
      <c r="G589" s="9">
        <v>5</v>
      </c>
      <c r="H589" s="9">
        <f>CONVERT(589,"ft","m")*100</f>
        <v>17952.72</v>
      </c>
      <c r="I589" s="9">
        <f t="shared" si="18"/>
        <v>179.52720000000002</v>
      </c>
      <c r="J589" s="9">
        <f>I589*I589</f>
        <v>32230.015539840009</v>
      </c>
      <c r="K589" s="9">
        <v>55</v>
      </c>
      <c r="L589" s="7">
        <f t="shared" si="19"/>
        <v>1.7064838188493477E-3</v>
      </c>
      <c r="M589" s="28">
        <v>0</v>
      </c>
      <c r="N589" s="28">
        <v>0</v>
      </c>
      <c r="O589" s="28">
        <v>1</v>
      </c>
      <c r="P589" s="28">
        <v>0</v>
      </c>
      <c r="Q589" s="29">
        <v>7</v>
      </c>
    </row>
    <row r="590" spans="1:17" x14ac:dyDescent="0.3">
      <c r="A590" s="15">
        <v>588</v>
      </c>
      <c r="B590" s="36">
        <v>1</v>
      </c>
      <c r="C590" s="5">
        <v>0</v>
      </c>
      <c r="D590" s="5">
        <v>0</v>
      </c>
      <c r="E590" s="9">
        <v>45</v>
      </c>
      <c r="F590" s="9">
        <v>0</v>
      </c>
      <c r="G590" s="9">
        <v>6.3</v>
      </c>
      <c r="H590" s="9">
        <f>CONVERT(590,"ft","m")*100</f>
        <v>17983.2</v>
      </c>
      <c r="I590" s="9">
        <f t="shared" si="18"/>
        <v>179.83199999999999</v>
      </c>
      <c r="J590" s="9">
        <f>I590*I590</f>
        <v>32339.548223999998</v>
      </c>
      <c r="K590" s="9">
        <v>70</v>
      </c>
      <c r="L590" s="7">
        <f t="shared" si="19"/>
        <v>2.1645324020961808E-3</v>
      </c>
      <c r="M590" s="28">
        <v>0</v>
      </c>
      <c r="N590" s="28">
        <v>0</v>
      </c>
      <c r="O590" s="28">
        <v>1</v>
      </c>
      <c r="P590" s="28">
        <v>0</v>
      </c>
      <c r="Q590" s="29">
        <v>8</v>
      </c>
    </row>
    <row r="591" spans="1:17" x14ac:dyDescent="0.3">
      <c r="A591" s="15">
        <v>589</v>
      </c>
      <c r="B591" s="36">
        <v>1</v>
      </c>
      <c r="C591" s="5">
        <v>1</v>
      </c>
      <c r="D591" s="5">
        <v>0</v>
      </c>
      <c r="E591" s="9">
        <v>32</v>
      </c>
      <c r="F591" s="9">
        <v>1</v>
      </c>
      <c r="G591" s="9">
        <v>5.8</v>
      </c>
      <c r="H591" s="9">
        <f>CONVERT(591,"ft","m")*100</f>
        <v>18013.68</v>
      </c>
      <c r="I591" s="9">
        <f t="shared" si="18"/>
        <v>180.13679999999999</v>
      </c>
      <c r="J591" s="9">
        <f>I591*I591</f>
        <v>32449.266714239999</v>
      </c>
      <c r="K591" s="9">
        <v>50</v>
      </c>
      <c r="L591" s="7">
        <f t="shared" si="19"/>
        <v>1.5408668688977817E-3</v>
      </c>
      <c r="M591" s="19">
        <v>1</v>
      </c>
      <c r="N591" s="28">
        <v>0</v>
      </c>
      <c r="O591" s="28">
        <v>1</v>
      </c>
      <c r="P591" s="28">
        <v>0</v>
      </c>
      <c r="Q591" s="29">
        <v>8</v>
      </c>
    </row>
    <row r="592" spans="1:17" x14ac:dyDescent="0.3">
      <c r="A592" s="15">
        <v>590</v>
      </c>
      <c r="B592" s="36">
        <v>1</v>
      </c>
      <c r="C592" s="5">
        <v>1</v>
      </c>
      <c r="D592" s="5">
        <v>0</v>
      </c>
      <c r="E592" s="9">
        <v>35</v>
      </c>
      <c r="F592" s="9">
        <v>11</v>
      </c>
      <c r="G592" s="9">
        <v>5.6</v>
      </c>
      <c r="H592" s="9">
        <f>CONVERT(592,"ft","m")*100</f>
        <v>18044.16</v>
      </c>
      <c r="I592" s="9">
        <f t="shared" si="18"/>
        <v>180.44159999999999</v>
      </c>
      <c r="J592" s="9">
        <f>I592*I592</f>
        <v>32559.17101056</v>
      </c>
      <c r="K592" s="9">
        <v>60</v>
      </c>
      <c r="L592" s="7">
        <f t="shared" si="19"/>
        <v>1.8427987610784085E-3</v>
      </c>
      <c r="M592" s="19">
        <v>1</v>
      </c>
      <c r="N592" s="28">
        <v>0</v>
      </c>
      <c r="O592" s="28">
        <v>1</v>
      </c>
      <c r="P592" s="28">
        <v>0</v>
      </c>
      <c r="Q592" s="29">
        <v>9</v>
      </c>
    </row>
    <row r="593" spans="1:17" x14ac:dyDescent="0.3">
      <c r="A593" s="15">
        <v>591</v>
      </c>
      <c r="B593" s="36">
        <v>1</v>
      </c>
      <c r="C593" s="5">
        <v>1</v>
      </c>
      <c r="D593" s="5">
        <v>0</v>
      </c>
      <c r="E593" s="9">
        <v>37</v>
      </c>
      <c r="F593" s="9">
        <v>1</v>
      </c>
      <c r="G593" s="9">
        <v>5.7</v>
      </c>
      <c r="H593" s="9">
        <f>CONVERT(593,"ft","m")*100</f>
        <v>18074.64</v>
      </c>
      <c r="I593" s="9">
        <f t="shared" si="18"/>
        <v>180.74639999999999</v>
      </c>
      <c r="J593" s="9">
        <f>I593*I593</f>
        <v>32669.261112959997</v>
      </c>
      <c r="K593" s="9">
        <v>65</v>
      </c>
      <c r="L593" s="7">
        <f t="shared" si="19"/>
        <v>1.9896378976938141E-3</v>
      </c>
      <c r="M593" s="19">
        <v>1</v>
      </c>
      <c r="N593" s="28">
        <v>0</v>
      </c>
      <c r="O593" s="28">
        <v>1</v>
      </c>
      <c r="P593" s="28">
        <v>0</v>
      </c>
      <c r="Q593" s="29">
        <v>9</v>
      </c>
    </row>
    <row r="594" spans="1:17" x14ac:dyDescent="0.3">
      <c r="A594" s="15">
        <v>592</v>
      </c>
      <c r="B594" s="36">
        <v>1</v>
      </c>
      <c r="C594" s="5">
        <v>1</v>
      </c>
      <c r="D594" s="5">
        <v>0</v>
      </c>
      <c r="E594" s="9">
        <v>33</v>
      </c>
      <c r="F594" s="9">
        <v>1</v>
      </c>
      <c r="G594" s="9">
        <v>5.5</v>
      </c>
      <c r="H594" s="9">
        <f>CONVERT(594,"ft","m")*100</f>
        <v>18105.12</v>
      </c>
      <c r="I594" s="9">
        <f t="shared" si="18"/>
        <v>181.05119999999999</v>
      </c>
      <c r="J594" s="9">
        <f>I594*I594</f>
        <v>32779.537021439995</v>
      </c>
      <c r="K594" s="9">
        <v>50</v>
      </c>
      <c r="L594" s="7">
        <f t="shared" si="19"/>
        <v>1.5253418609084283E-3</v>
      </c>
      <c r="M594" s="19">
        <v>1</v>
      </c>
      <c r="N594" s="28">
        <v>0</v>
      </c>
      <c r="O594" s="28">
        <v>1</v>
      </c>
      <c r="P594" s="28">
        <v>0</v>
      </c>
      <c r="Q594" s="29">
        <v>8</v>
      </c>
    </row>
    <row r="595" spans="1:17" x14ac:dyDescent="0.3">
      <c r="A595" s="15">
        <v>593</v>
      </c>
      <c r="B595" s="36">
        <v>1</v>
      </c>
      <c r="C595" s="5">
        <v>1</v>
      </c>
      <c r="D595" s="5">
        <v>1</v>
      </c>
      <c r="E595" s="9">
        <v>38</v>
      </c>
      <c r="F595" s="9">
        <v>14</v>
      </c>
      <c r="G595" s="9">
        <v>4.9000000000000004</v>
      </c>
      <c r="H595" s="9">
        <f>CONVERT(595,"ft","m")*100</f>
        <v>18135.599999999999</v>
      </c>
      <c r="I595" s="9">
        <f t="shared" si="18"/>
        <v>181.35599999999999</v>
      </c>
      <c r="J595" s="9">
        <f>I595*I595</f>
        <v>32889.998736000001</v>
      </c>
      <c r="K595" s="9">
        <v>60</v>
      </c>
      <c r="L595" s="7">
        <f t="shared" si="19"/>
        <v>1.824262763936398E-3</v>
      </c>
      <c r="M595" s="19">
        <v>1</v>
      </c>
      <c r="N595" s="28">
        <v>0</v>
      </c>
      <c r="O595" s="28">
        <v>1</v>
      </c>
      <c r="P595" s="28">
        <v>0</v>
      </c>
      <c r="Q595" s="29">
        <v>9</v>
      </c>
    </row>
    <row r="596" spans="1:17" x14ac:dyDescent="0.3">
      <c r="A596" s="15">
        <v>594</v>
      </c>
      <c r="B596" s="36">
        <v>1</v>
      </c>
      <c r="C596" s="5">
        <v>1</v>
      </c>
      <c r="D596" s="5">
        <v>1</v>
      </c>
      <c r="E596" s="9">
        <v>42</v>
      </c>
      <c r="F596" s="9">
        <v>1</v>
      </c>
      <c r="G596" s="9">
        <v>5.7</v>
      </c>
      <c r="H596" s="9">
        <f>CONVERT(596,"ft","m")*100</f>
        <v>18166.079999999998</v>
      </c>
      <c r="I596" s="9">
        <f t="shared" si="18"/>
        <v>181.66079999999999</v>
      </c>
      <c r="J596" s="9">
        <f>I596*I596</f>
        <v>33000.646256640001</v>
      </c>
      <c r="K596" s="9">
        <v>65</v>
      </c>
      <c r="L596" s="7">
        <f t="shared" si="19"/>
        <v>1.9696583968237128E-3</v>
      </c>
      <c r="M596" s="19">
        <v>1</v>
      </c>
      <c r="N596" s="28">
        <v>0</v>
      </c>
      <c r="O596" s="28">
        <v>1</v>
      </c>
      <c r="P596" s="28">
        <v>0</v>
      </c>
      <c r="Q596" s="29">
        <v>8.8000000000000007</v>
      </c>
    </row>
    <row r="597" spans="1:17" x14ac:dyDescent="0.3">
      <c r="A597" s="15">
        <v>595</v>
      </c>
      <c r="B597" s="36">
        <v>1</v>
      </c>
      <c r="C597" s="5">
        <v>1</v>
      </c>
      <c r="D597" s="5">
        <v>1</v>
      </c>
      <c r="E597" s="9">
        <v>41</v>
      </c>
      <c r="F597" s="9">
        <v>1</v>
      </c>
      <c r="G597" s="9">
        <v>6.1</v>
      </c>
      <c r="H597" s="9">
        <f>CONVERT(597,"ft","m")*100</f>
        <v>18196.559999999998</v>
      </c>
      <c r="I597" s="9">
        <f t="shared" si="18"/>
        <v>181.96559999999997</v>
      </c>
      <c r="J597" s="9">
        <f>I597*I597</f>
        <v>33111.479583359986</v>
      </c>
      <c r="K597" s="9">
        <v>60</v>
      </c>
      <c r="L597" s="7">
        <f t="shared" si="19"/>
        <v>1.8120603716589188E-3</v>
      </c>
      <c r="M597" s="19">
        <v>1</v>
      </c>
      <c r="N597" s="28">
        <v>0</v>
      </c>
      <c r="O597" s="28">
        <v>1</v>
      </c>
      <c r="P597" s="28">
        <v>0</v>
      </c>
      <c r="Q597" s="29">
        <v>9</v>
      </c>
    </row>
    <row r="598" spans="1:17" x14ac:dyDescent="0.3">
      <c r="A598" s="15">
        <v>596</v>
      </c>
      <c r="B598" s="36">
        <v>1</v>
      </c>
      <c r="C598" s="5">
        <v>1</v>
      </c>
      <c r="D598" s="5">
        <v>0</v>
      </c>
      <c r="E598" s="9">
        <v>32</v>
      </c>
      <c r="F598" s="9">
        <v>1</v>
      </c>
      <c r="G598" s="9">
        <v>5.6</v>
      </c>
      <c r="H598" s="9">
        <f>CONVERT(598,"ft","m")*100</f>
        <v>18227.04</v>
      </c>
      <c r="I598" s="9">
        <f t="shared" si="18"/>
        <v>182.2704</v>
      </c>
      <c r="J598" s="9">
        <f>I598*I598</f>
        <v>33222.49871616</v>
      </c>
      <c r="K598" s="9">
        <v>80</v>
      </c>
      <c r="L598" s="7">
        <f t="shared" si="19"/>
        <v>2.4080067150724764E-3</v>
      </c>
      <c r="M598" s="28">
        <v>0</v>
      </c>
      <c r="N598" s="28">
        <v>0</v>
      </c>
      <c r="O598" s="28">
        <v>1</v>
      </c>
      <c r="P598" s="28">
        <v>0</v>
      </c>
      <c r="Q598" s="29">
        <v>8</v>
      </c>
    </row>
    <row r="599" spans="1:17" x14ac:dyDescent="0.3">
      <c r="A599" s="15">
        <v>597</v>
      </c>
      <c r="B599" s="36">
        <v>1</v>
      </c>
      <c r="C599" s="5">
        <v>1</v>
      </c>
      <c r="D599" s="5">
        <v>1</v>
      </c>
      <c r="E599" s="9">
        <v>6</v>
      </c>
      <c r="F599" s="9">
        <v>1</v>
      </c>
      <c r="G599" s="9">
        <v>2.8</v>
      </c>
      <c r="H599" s="9">
        <f>CONVERT(599,"ft","m")*100</f>
        <v>18257.52</v>
      </c>
      <c r="I599" s="9">
        <f t="shared" si="18"/>
        <v>182.5752</v>
      </c>
      <c r="J599" s="9">
        <f>I599*I599</f>
        <v>33333.703655040001</v>
      </c>
      <c r="K599" s="9">
        <v>20</v>
      </c>
      <c r="L599" s="7">
        <f t="shared" si="19"/>
        <v>5.9999333428333382E-4</v>
      </c>
      <c r="M599" s="28">
        <v>0</v>
      </c>
      <c r="N599" s="28">
        <v>0</v>
      </c>
      <c r="O599" s="28">
        <v>0</v>
      </c>
      <c r="P599" s="28">
        <v>1</v>
      </c>
      <c r="Q599" s="29">
        <v>10</v>
      </c>
    </row>
    <row r="600" spans="1:17" x14ac:dyDescent="0.3">
      <c r="A600" s="15">
        <v>598</v>
      </c>
      <c r="B600" s="36">
        <v>1</v>
      </c>
      <c r="C600" s="5">
        <v>1</v>
      </c>
      <c r="D600" s="5">
        <v>0</v>
      </c>
      <c r="E600" s="9">
        <v>70</v>
      </c>
      <c r="F600" s="9">
        <v>1</v>
      </c>
      <c r="G600" s="9">
        <v>5.6</v>
      </c>
      <c r="H600" s="9">
        <f>CONVERT(600,"ft","m")*100</f>
        <v>18288</v>
      </c>
      <c r="I600" s="9">
        <f t="shared" si="18"/>
        <v>182.88</v>
      </c>
      <c r="J600" s="9">
        <f>I600*I600</f>
        <v>33445.094400000002</v>
      </c>
      <c r="K600" s="9">
        <v>90</v>
      </c>
      <c r="L600" s="7">
        <f t="shared" si="19"/>
        <v>2.6909776041774305E-3</v>
      </c>
      <c r="M600" s="28">
        <v>0</v>
      </c>
      <c r="N600" s="28">
        <v>0</v>
      </c>
      <c r="O600" s="28">
        <v>0</v>
      </c>
      <c r="P600" s="28">
        <v>1</v>
      </c>
      <c r="Q600" s="29">
        <v>6</v>
      </c>
    </row>
    <row r="601" spans="1:17" x14ac:dyDescent="0.3">
      <c r="A601" s="15">
        <v>599</v>
      </c>
      <c r="B601" s="36">
        <v>1</v>
      </c>
      <c r="C601" s="5">
        <v>1</v>
      </c>
      <c r="D601" s="5">
        <v>1</v>
      </c>
      <c r="E601" s="9">
        <v>17</v>
      </c>
      <c r="F601" s="9">
        <v>2</v>
      </c>
      <c r="G601" s="9">
        <v>4.2</v>
      </c>
      <c r="H601" s="9">
        <f>CONVERT(601,"ft","m")*100</f>
        <v>18318.48</v>
      </c>
      <c r="I601" s="9">
        <f t="shared" ref="I601:I617" si="20">H601/100</f>
        <v>183.1848</v>
      </c>
      <c r="J601" s="9">
        <f>I601*I601</f>
        <v>33556.670951039996</v>
      </c>
      <c r="K601" s="9">
        <v>40</v>
      </c>
      <c r="L601" s="7">
        <f t="shared" si="19"/>
        <v>1.1920133572952149E-3</v>
      </c>
      <c r="M601" s="27">
        <v>1</v>
      </c>
      <c r="N601" s="27">
        <v>0</v>
      </c>
      <c r="O601" s="27">
        <v>0</v>
      </c>
      <c r="P601" s="27">
        <v>1</v>
      </c>
      <c r="Q601" s="29">
        <v>3</v>
      </c>
    </row>
    <row r="602" spans="1:17" x14ac:dyDescent="0.3">
      <c r="A602" s="15">
        <v>600</v>
      </c>
      <c r="B602" s="36">
        <v>1</v>
      </c>
      <c r="C602" s="5">
        <v>1</v>
      </c>
      <c r="D602" s="5">
        <v>0</v>
      </c>
      <c r="E602" s="9">
        <v>3</v>
      </c>
      <c r="F602" s="9">
        <v>12</v>
      </c>
      <c r="G602" s="9">
        <v>1.3</v>
      </c>
      <c r="H602" s="9">
        <f>CONVERT(602,"ft","m")*100</f>
        <v>18348.96</v>
      </c>
      <c r="I602" s="9">
        <f t="shared" si="20"/>
        <v>183.4896</v>
      </c>
      <c r="J602" s="9">
        <f>I602*I602</f>
        <v>33668.433308159998</v>
      </c>
      <c r="K602" s="9">
        <v>10</v>
      </c>
      <c r="L602" s="7">
        <f t="shared" si="19"/>
        <v>2.9701411730305742E-4</v>
      </c>
      <c r="M602" s="27">
        <v>0</v>
      </c>
      <c r="N602" s="27">
        <v>0</v>
      </c>
      <c r="O602" s="27">
        <v>0</v>
      </c>
      <c r="P602" s="27">
        <v>1</v>
      </c>
      <c r="Q602" s="29">
        <v>8</v>
      </c>
    </row>
    <row r="603" spans="1:17" x14ac:dyDescent="0.3">
      <c r="A603" s="15">
        <v>601</v>
      </c>
      <c r="B603" s="36">
        <v>1</v>
      </c>
      <c r="C603" s="5">
        <v>1</v>
      </c>
      <c r="D603" s="5">
        <v>0</v>
      </c>
      <c r="E603" s="9">
        <v>54</v>
      </c>
      <c r="F603" s="9">
        <v>8</v>
      </c>
      <c r="G603" s="9">
        <v>6.1</v>
      </c>
      <c r="H603" s="9">
        <f>CONVERT(603,"ft","m")*100</f>
        <v>18379.439999999999</v>
      </c>
      <c r="I603" s="9">
        <f t="shared" si="20"/>
        <v>183.7944</v>
      </c>
      <c r="J603" s="9">
        <f>I603*I603</f>
        <v>33780.38147136</v>
      </c>
      <c r="K603" s="9">
        <v>70</v>
      </c>
      <c r="L603" s="7">
        <f t="shared" si="19"/>
        <v>2.0722086889204626E-3</v>
      </c>
      <c r="M603" s="27">
        <v>0</v>
      </c>
      <c r="N603" s="27">
        <v>0</v>
      </c>
      <c r="O603" s="27">
        <v>0</v>
      </c>
      <c r="P603" s="27">
        <v>1</v>
      </c>
      <c r="Q603" s="29">
        <v>9</v>
      </c>
    </row>
    <row r="604" spans="1:17" x14ac:dyDescent="0.3">
      <c r="A604" s="15">
        <v>602</v>
      </c>
      <c r="B604" s="36">
        <v>1</v>
      </c>
      <c r="C604" s="5">
        <v>1</v>
      </c>
      <c r="D604" s="5">
        <v>1</v>
      </c>
      <c r="E604" s="5">
        <v>35</v>
      </c>
      <c r="F604" s="5">
        <v>1</v>
      </c>
      <c r="G604" s="5">
        <v>5.8</v>
      </c>
      <c r="H604" s="9">
        <f>CONVERT(604,"ft","m")*100</f>
        <v>18409.919999999998</v>
      </c>
      <c r="I604" s="9">
        <f t="shared" si="20"/>
        <v>184.0992</v>
      </c>
      <c r="J604" s="9">
        <f>I604*I604</f>
        <v>33892.515440639996</v>
      </c>
      <c r="K604" s="5">
        <v>65</v>
      </c>
      <c r="L604" s="7">
        <f t="shared" si="19"/>
        <v>1.9178275544003882E-3</v>
      </c>
      <c r="M604" s="27">
        <v>1</v>
      </c>
      <c r="N604" s="27">
        <v>0</v>
      </c>
      <c r="O604" s="27">
        <v>0</v>
      </c>
      <c r="P604" s="27">
        <v>1</v>
      </c>
      <c r="Q604" s="29">
        <v>9</v>
      </c>
    </row>
    <row r="605" spans="1:17" x14ac:dyDescent="0.3">
      <c r="A605" s="15">
        <v>603</v>
      </c>
      <c r="B605" s="36">
        <v>1</v>
      </c>
      <c r="C605" s="5">
        <v>1</v>
      </c>
      <c r="D605" s="5">
        <v>0</v>
      </c>
      <c r="E605" s="5">
        <v>31</v>
      </c>
      <c r="F605" s="5">
        <v>0</v>
      </c>
      <c r="G605" s="5">
        <v>5.3</v>
      </c>
      <c r="H605" s="9">
        <f>CONVERT(605,"ft","m")*100</f>
        <v>18440.400000000001</v>
      </c>
      <c r="I605" s="9">
        <f t="shared" si="20"/>
        <v>184.40400000000002</v>
      </c>
      <c r="J605" s="9">
        <f>I605*I605</f>
        <v>34004.835216000007</v>
      </c>
      <c r="K605" s="5">
        <v>70</v>
      </c>
      <c r="L605" s="7">
        <f t="shared" si="19"/>
        <v>2.0585307811479556E-3</v>
      </c>
      <c r="M605" s="28">
        <v>0</v>
      </c>
      <c r="N605" s="27">
        <v>0</v>
      </c>
      <c r="O605" s="27">
        <v>0</v>
      </c>
      <c r="P605" s="27">
        <v>1</v>
      </c>
      <c r="Q605" s="29">
        <v>8.5</v>
      </c>
    </row>
    <row r="606" spans="1:17" x14ac:dyDescent="0.3">
      <c r="A606" s="15">
        <v>604</v>
      </c>
      <c r="B606" s="36">
        <v>1</v>
      </c>
      <c r="C606" s="5">
        <v>1</v>
      </c>
      <c r="D606" s="5">
        <v>1</v>
      </c>
      <c r="E606" s="5">
        <v>45</v>
      </c>
      <c r="F606" s="5">
        <v>12</v>
      </c>
      <c r="G606" s="5">
        <v>5.3</v>
      </c>
      <c r="H606" s="9">
        <f>CONVERT(606,"ft","m")*100</f>
        <v>18470.88</v>
      </c>
      <c r="I606" s="9">
        <f t="shared" si="20"/>
        <v>184.7088</v>
      </c>
      <c r="J606" s="9">
        <f>I606*I606</f>
        <v>34117.340797439996</v>
      </c>
      <c r="K606" s="5">
        <v>65</v>
      </c>
      <c r="L606" s="7">
        <f t="shared" si="19"/>
        <v>1.9051895159682929E-3</v>
      </c>
      <c r="M606" s="28">
        <v>2</v>
      </c>
      <c r="N606" s="28">
        <v>1</v>
      </c>
      <c r="O606" s="27">
        <v>0</v>
      </c>
      <c r="P606" s="27">
        <v>1</v>
      </c>
      <c r="Q606" s="29">
        <v>8</v>
      </c>
    </row>
    <row r="607" spans="1:17" x14ac:dyDescent="0.3">
      <c r="A607" s="15">
        <v>605</v>
      </c>
      <c r="B607" s="36">
        <v>1</v>
      </c>
      <c r="C607" s="5">
        <v>1</v>
      </c>
      <c r="D607" s="5">
        <v>0</v>
      </c>
      <c r="E607" s="5">
        <v>38</v>
      </c>
      <c r="F607" s="5">
        <v>0</v>
      </c>
      <c r="G607" s="5">
        <v>5.4</v>
      </c>
      <c r="H607" s="9">
        <f>CONVERT(607,"ft","m")*100</f>
        <v>18501.36</v>
      </c>
      <c r="I607" s="9">
        <f t="shared" si="20"/>
        <v>185.0136</v>
      </c>
      <c r="J607" s="9">
        <f>I607*I607</f>
        <v>34230.03218496</v>
      </c>
      <c r="K607" s="5">
        <v>60</v>
      </c>
      <c r="L607" s="7">
        <f t="shared" si="19"/>
        <v>1.7528467304907419E-3</v>
      </c>
      <c r="M607" s="28">
        <v>0</v>
      </c>
      <c r="N607" s="28">
        <v>0</v>
      </c>
      <c r="O607" s="27">
        <v>0</v>
      </c>
      <c r="P607" s="27">
        <v>1</v>
      </c>
      <c r="Q607" s="29">
        <v>8</v>
      </c>
    </row>
    <row r="608" spans="1:17" x14ac:dyDescent="0.3">
      <c r="A608" s="15">
        <v>606</v>
      </c>
      <c r="B608" s="36">
        <v>1</v>
      </c>
      <c r="C608" s="5">
        <v>1</v>
      </c>
      <c r="D608" s="5">
        <v>1</v>
      </c>
      <c r="E608" s="5">
        <v>36</v>
      </c>
      <c r="F608" s="5">
        <v>8</v>
      </c>
      <c r="G608" s="5">
        <v>4.5</v>
      </c>
      <c r="H608" s="9">
        <f>CONVERT(608,"ft","m")*100</f>
        <v>18531.84</v>
      </c>
      <c r="I608" s="9">
        <f t="shared" si="20"/>
        <v>185.3184</v>
      </c>
      <c r="J608" s="9">
        <f>I608*I608</f>
        <v>34342.909378559998</v>
      </c>
      <c r="K608" s="5">
        <v>30</v>
      </c>
      <c r="L608" s="7">
        <f t="shared" si="19"/>
        <v>8.7354276451396856E-4</v>
      </c>
      <c r="M608" s="28">
        <v>0</v>
      </c>
      <c r="N608" s="28">
        <v>0</v>
      </c>
      <c r="O608" s="27">
        <v>0</v>
      </c>
      <c r="P608" s="27">
        <v>1</v>
      </c>
      <c r="Q608" s="29">
        <v>7.7</v>
      </c>
    </row>
    <row r="609" spans="1:17" x14ac:dyDescent="0.3">
      <c r="A609" s="15">
        <v>607</v>
      </c>
      <c r="B609" s="36">
        <v>1</v>
      </c>
      <c r="C609" s="5">
        <v>1</v>
      </c>
      <c r="D609" s="5">
        <v>1</v>
      </c>
      <c r="E609" s="5">
        <v>26</v>
      </c>
      <c r="F609" s="5">
        <v>1</v>
      </c>
      <c r="G609" s="5">
        <v>4.3</v>
      </c>
      <c r="H609" s="9">
        <f>CONVERT(609,"ft","m")*100</f>
        <v>18562.32</v>
      </c>
      <c r="I609" s="9">
        <f t="shared" si="20"/>
        <v>185.6232</v>
      </c>
      <c r="J609" s="9">
        <f>I609*I609</f>
        <v>34455.972378239996</v>
      </c>
      <c r="K609" s="5">
        <v>27</v>
      </c>
      <c r="L609" s="7">
        <f t="shared" si="19"/>
        <v>7.836087080523471E-4</v>
      </c>
      <c r="M609" s="28">
        <v>0</v>
      </c>
      <c r="N609" s="28">
        <v>0</v>
      </c>
      <c r="O609" s="27">
        <v>0</v>
      </c>
      <c r="P609" s="27">
        <v>1</v>
      </c>
      <c r="Q609" s="29">
        <v>7.3</v>
      </c>
    </row>
    <row r="610" spans="1:17" x14ac:dyDescent="0.3">
      <c r="A610" s="15">
        <v>608</v>
      </c>
      <c r="B610" s="36">
        <v>1</v>
      </c>
      <c r="C610" s="5">
        <v>1</v>
      </c>
      <c r="D610" s="5">
        <v>0</v>
      </c>
      <c r="E610" s="5">
        <v>21</v>
      </c>
      <c r="F610" s="5">
        <v>1</v>
      </c>
      <c r="G610" s="5">
        <v>4.8</v>
      </c>
      <c r="H610" s="9">
        <f>CONVERT(610,"ft","m")*100</f>
        <v>18592.8</v>
      </c>
      <c r="I610" s="9">
        <f t="shared" si="20"/>
        <v>185.928</v>
      </c>
      <c r="J610" s="9">
        <f>I610*I610</f>
        <v>34569.221184000002</v>
      </c>
      <c r="K610" s="5">
        <v>45</v>
      </c>
      <c r="L610" s="7">
        <f t="shared" si="19"/>
        <v>1.3017360084706731E-3</v>
      </c>
      <c r="M610" s="28">
        <v>0</v>
      </c>
      <c r="N610" s="28">
        <v>0</v>
      </c>
      <c r="O610" s="27">
        <v>0</v>
      </c>
      <c r="P610" s="27">
        <v>1</v>
      </c>
      <c r="Q610" s="29">
        <v>7</v>
      </c>
    </row>
    <row r="611" spans="1:17" x14ac:dyDescent="0.3">
      <c r="A611" s="15">
        <v>609</v>
      </c>
      <c r="B611" s="36">
        <v>1</v>
      </c>
      <c r="C611" s="5">
        <v>1</v>
      </c>
      <c r="D611" s="5">
        <v>1</v>
      </c>
      <c r="E611" s="5">
        <v>15</v>
      </c>
      <c r="F611" s="5">
        <v>11</v>
      </c>
      <c r="G611" s="5">
        <v>4.2</v>
      </c>
      <c r="H611" s="9">
        <f>CONVERT(611,"ft","m")*100</f>
        <v>18623.28</v>
      </c>
      <c r="I611" s="9">
        <f t="shared" si="20"/>
        <v>186.2328</v>
      </c>
      <c r="J611" s="9">
        <f>I611*I611</f>
        <v>34682.655795840001</v>
      </c>
      <c r="K611" s="5">
        <v>35</v>
      </c>
      <c r="L611" s="7">
        <f t="shared" si="19"/>
        <v>1.009149939555611E-3</v>
      </c>
      <c r="M611" s="28">
        <v>0</v>
      </c>
      <c r="N611" s="28">
        <v>0</v>
      </c>
      <c r="O611" s="27">
        <v>0</v>
      </c>
      <c r="P611" s="27">
        <v>0</v>
      </c>
      <c r="Q611" s="29">
        <v>6</v>
      </c>
    </row>
    <row r="612" spans="1:17" x14ac:dyDescent="0.3">
      <c r="A612" s="15">
        <v>610</v>
      </c>
      <c r="B612" s="36">
        <v>1</v>
      </c>
      <c r="C612" s="5">
        <v>1</v>
      </c>
      <c r="D612" s="5">
        <v>0</v>
      </c>
      <c r="E612" s="5">
        <v>35</v>
      </c>
      <c r="F612" s="45">
        <v>1</v>
      </c>
      <c r="G612" s="5">
        <v>5.7</v>
      </c>
      <c r="H612" s="9">
        <f>CONVERT(612,"ft","m")*100</f>
        <v>18653.759999999998</v>
      </c>
      <c r="I612" s="9">
        <f t="shared" si="20"/>
        <v>186.5376</v>
      </c>
      <c r="J612" s="9">
        <f>I612*I612</f>
        <v>34796.27621376</v>
      </c>
      <c r="K612" s="5">
        <v>50</v>
      </c>
      <c r="L612" s="7">
        <f t="shared" si="19"/>
        <v>1.4369353689699638E-3</v>
      </c>
      <c r="M612" s="28">
        <v>0</v>
      </c>
      <c r="N612" s="28">
        <v>0</v>
      </c>
      <c r="O612" s="27">
        <v>0</v>
      </c>
      <c r="P612" s="27">
        <v>0</v>
      </c>
      <c r="Q612" s="29">
        <v>9</v>
      </c>
    </row>
    <row r="613" spans="1:17" x14ac:dyDescent="0.3">
      <c r="A613" s="15">
        <v>611</v>
      </c>
      <c r="B613" s="36">
        <v>1</v>
      </c>
      <c r="C613" s="5">
        <v>1</v>
      </c>
      <c r="D613" s="5">
        <v>1</v>
      </c>
      <c r="E613" s="5">
        <v>26</v>
      </c>
      <c r="F613" s="5">
        <v>1</v>
      </c>
      <c r="G613" s="5">
        <v>5.3</v>
      </c>
      <c r="H613" s="9">
        <f>CONVERT(613,"ft","m")*100</f>
        <v>18684.239999999998</v>
      </c>
      <c r="I613" s="9">
        <f t="shared" si="20"/>
        <v>186.84239999999997</v>
      </c>
      <c r="J613" s="9">
        <f>I613*I613</f>
        <v>34910.082437759986</v>
      </c>
      <c r="K613" s="5">
        <v>35</v>
      </c>
      <c r="L613" s="7">
        <f t="shared" si="19"/>
        <v>1.0025756903439093E-3</v>
      </c>
      <c r="M613" s="28">
        <v>0</v>
      </c>
      <c r="N613" s="28">
        <v>0</v>
      </c>
      <c r="O613" s="27">
        <v>0</v>
      </c>
      <c r="P613" s="27">
        <v>0</v>
      </c>
      <c r="Q613" s="29">
        <v>8.8000000000000007</v>
      </c>
    </row>
    <row r="614" spans="1:17" x14ac:dyDescent="0.3">
      <c r="A614" s="15">
        <v>612</v>
      </c>
      <c r="B614" s="36">
        <v>1</v>
      </c>
      <c r="C614" s="5">
        <v>1</v>
      </c>
      <c r="D614" s="5">
        <v>0</v>
      </c>
      <c r="E614" s="10">
        <v>17</v>
      </c>
      <c r="F614" s="10">
        <v>12</v>
      </c>
      <c r="G614" s="10">
        <v>5.3</v>
      </c>
      <c r="H614" s="9">
        <f>CONVERT(614,"ft","m")*100</f>
        <v>18714.72</v>
      </c>
      <c r="I614" s="9">
        <f t="shared" si="20"/>
        <v>187.1472</v>
      </c>
      <c r="J614" s="9">
        <f>I614*I614</f>
        <v>35024.074467840001</v>
      </c>
      <c r="K614" s="10">
        <v>50</v>
      </c>
      <c r="L614" s="7">
        <f t="shared" si="19"/>
        <v>1.4275894726614767E-3</v>
      </c>
      <c r="M614" s="28">
        <v>0</v>
      </c>
      <c r="N614" s="28">
        <v>0</v>
      </c>
      <c r="O614" s="27">
        <v>0</v>
      </c>
      <c r="P614" s="27">
        <v>1</v>
      </c>
      <c r="Q614" s="29">
        <v>7</v>
      </c>
    </row>
    <row r="615" spans="1:17" x14ac:dyDescent="0.3">
      <c r="A615" s="15">
        <v>613</v>
      </c>
      <c r="B615" s="36">
        <v>1</v>
      </c>
      <c r="C615" s="5">
        <v>1</v>
      </c>
      <c r="D615" s="5">
        <v>0</v>
      </c>
      <c r="E615" s="10">
        <v>8</v>
      </c>
      <c r="F615" s="10">
        <v>8</v>
      </c>
      <c r="G615" s="10">
        <v>2.1</v>
      </c>
      <c r="H615" s="9">
        <f>CONVERT(615,"ft","m")*100</f>
        <v>18745.2</v>
      </c>
      <c r="I615" s="9">
        <f t="shared" si="20"/>
        <v>187.452</v>
      </c>
      <c r="J615" s="9">
        <f>I615*I615</f>
        <v>35138.252304000001</v>
      </c>
      <c r="K615" s="10">
        <v>20</v>
      </c>
      <c r="L615" s="7">
        <f t="shared" si="19"/>
        <v>5.6918027188629632E-4</v>
      </c>
      <c r="M615" s="28">
        <v>0</v>
      </c>
      <c r="N615" s="29">
        <v>0</v>
      </c>
      <c r="O615" s="27">
        <v>0</v>
      </c>
      <c r="P615" s="29">
        <v>0</v>
      </c>
      <c r="Q615" s="29">
        <v>4</v>
      </c>
    </row>
    <row r="616" spans="1:17" x14ac:dyDescent="0.3">
      <c r="A616" s="15">
        <v>614</v>
      </c>
      <c r="B616" s="36">
        <v>1</v>
      </c>
      <c r="C616" s="5">
        <v>1</v>
      </c>
      <c r="D616" s="5">
        <v>1</v>
      </c>
      <c r="E616" s="10">
        <v>8</v>
      </c>
      <c r="F616" s="10">
        <v>4</v>
      </c>
      <c r="G616" s="10">
        <v>2.2000000000000002</v>
      </c>
      <c r="H616" s="9">
        <f>CONVERT(616,"ft","m")*100</f>
        <v>18775.68</v>
      </c>
      <c r="I616" s="9">
        <f t="shared" si="20"/>
        <v>187.7568</v>
      </c>
      <c r="J616" s="9">
        <f>I616*I616</f>
        <v>35252.615946240003</v>
      </c>
      <c r="K616" s="10">
        <v>17</v>
      </c>
      <c r="L616" s="7">
        <f t="shared" si="19"/>
        <v>4.8223371638362618E-4</v>
      </c>
      <c r="M616" s="28">
        <v>0</v>
      </c>
      <c r="N616" s="29">
        <v>0</v>
      </c>
      <c r="O616" s="27">
        <v>0</v>
      </c>
      <c r="P616" s="29">
        <v>0</v>
      </c>
      <c r="Q616" s="29">
        <v>3.5</v>
      </c>
    </row>
    <row r="617" spans="1:17" x14ac:dyDescent="0.3">
      <c r="A617" s="15">
        <v>615</v>
      </c>
      <c r="B617" s="36">
        <v>1</v>
      </c>
      <c r="C617" s="5">
        <v>1</v>
      </c>
      <c r="D617" s="5">
        <v>1</v>
      </c>
      <c r="E617" s="10">
        <v>7</v>
      </c>
      <c r="F617" s="10">
        <v>23</v>
      </c>
      <c r="G617" s="10">
        <v>2.1</v>
      </c>
      <c r="H617" s="9">
        <f>CONVERT(617,"ft","m")*100</f>
        <v>18806.16</v>
      </c>
      <c r="I617" s="9">
        <f t="shared" si="20"/>
        <v>188.0616</v>
      </c>
      <c r="J617" s="9">
        <f>I617*I617</f>
        <v>35367.165394559997</v>
      </c>
      <c r="K617" s="10">
        <v>15</v>
      </c>
      <c r="L617" s="7">
        <f t="shared" si="19"/>
        <v>4.2412220014406997E-4</v>
      </c>
      <c r="M617" s="28">
        <v>0</v>
      </c>
      <c r="N617" s="29">
        <v>0</v>
      </c>
      <c r="O617" s="27">
        <v>0</v>
      </c>
      <c r="P617" s="29">
        <v>0</v>
      </c>
      <c r="Q617" s="29">
        <v>3</v>
      </c>
    </row>
  </sheetData>
  <autoFilter ref="A1:Q617" xr:uid="{00000000-0009-0000-0000-000000000000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MASTER SHEET CONTROLS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SURBHI</cp:lastModifiedBy>
  <dcterms:created xsi:type="dcterms:W3CDTF">2018-05-05T08:09:38Z</dcterms:created>
  <dcterms:modified xsi:type="dcterms:W3CDTF">2020-02-14T15:02:13Z</dcterms:modified>
</cp:coreProperties>
</file>