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Careers/FP&amp;A Course/"/>
    </mc:Choice>
  </mc:AlternateContent>
  <xr:revisionPtr revIDLastSave="823" documentId="13_ncr:1_{4EA4B414-2CBE-42FC-84C1-ABEFBB89DD1C}" xr6:coauthVersionLast="46" xr6:coauthVersionMax="46" xr10:uidLastSave="{6EFBF901-1B8E-4908-B3F1-3C017092AFDD}"/>
  <bookViews>
    <workbookView xWindow="-110" yWindow="-110" windowWidth="19420" windowHeight="10420" tabRatio="920" xr2:uid="{00000000-000D-0000-FFFF-FFFF00000000}"/>
  </bookViews>
  <sheets>
    <sheet name="Henry's Hats" sheetId="29" r:id="rId1"/>
    <sheet name="P&amp;L Budgeting" sheetId="10" r:id="rId2"/>
    <sheet name="Sales Budget --&gt;" sheetId="1" r:id="rId3"/>
    <sheet name="Bottom-up Approach" sheetId="2" r:id="rId4"/>
    <sheet name="Top-down Approach" sheetId="3" r:id="rId5"/>
    <sheet name="Volume and Mix Triangulation" sheetId="28" r:id="rId6"/>
    <sheet name="Production Budget --&gt;" sheetId="11" r:id="rId7"/>
    <sheet name="Production Volume" sheetId="12" r:id="rId8"/>
    <sheet name="Direct Materials" sheetId="25" r:id="rId9"/>
    <sheet name="Direct Labor" sheetId="13" r:id="rId10"/>
    <sheet name="Overheads" sheetId="14" r:id="rId11"/>
    <sheet name="Cost of Goods Sold" sheetId="15" r:id="rId12"/>
    <sheet name="SG&amp;A Budget --&gt;" sheetId="16" r:id="rId13"/>
    <sheet name="Payroll Expense" sheetId="27" r:id="rId14"/>
    <sheet name="SG&amp;A Expense" sheetId="17" r:id="rId15"/>
    <sheet name="Balance Sheet Budgeting" sheetId="18" r:id="rId16"/>
    <sheet name="Working Capital" sheetId="19" r:id="rId17"/>
    <sheet name="Fixed Assets" sheetId="20" r:id="rId18"/>
    <sheet name="Loan repayment schedule" sheetId="26" r:id="rId19"/>
    <sheet name="Master Budget" sheetId="22" r:id="rId20"/>
    <sheet name="Income Statement" sheetId="21" r:id="rId21"/>
    <sheet name="Balance Sheet" sheetId="23" r:id="rId22"/>
    <sheet name="Cash Flow Statement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7" l="1"/>
  <c r="K19" i="27"/>
  <c r="J19" i="27"/>
  <c r="L18" i="27"/>
  <c r="K18" i="27"/>
  <c r="J18" i="27"/>
  <c r="I19" i="27"/>
  <c r="I18" i="27"/>
  <c r="F20" i="27"/>
  <c r="E20" i="27"/>
  <c r="E21" i="17" s="1"/>
  <c r="D20" i="27"/>
  <c r="D21" i="17" s="1"/>
  <c r="F19" i="27"/>
  <c r="E19" i="27"/>
  <c r="D19" i="27"/>
  <c r="F18" i="27"/>
  <c r="E18" i="27"/>
  <c r="D18" i="27"/>
  <c r="C20" i="27"/>
  <c r="C19" i="27"/>
  <c r="C18" i="27"/>
  <c r="L14" i="27"/>
  <c r="K14" i="27"/>
  <c r="J14" i="27"/>
  <c r="L13" i="27"/>
  <c r="K13" i="27"/>
  <c r="J13" i="27"/>
  <c r="I14" i="27"/>
  <c r="I13" i="27"/>
  <c r="F14" i="27"/>
  <c r="E14" i="27"/>
  <c r="D14" i="27"/>
  <c r="F13" i="27"/>
  <c r="E13" i="27"/>
  <c r="D13" i="27"/>
  <c r="C14" i="27"/>
  <c r="C13" i="27"/>
  <c r="L14" i="19"/>
  <c r="K14" i="19"/>
  <c r="J14" i="19"/>
  <c r="I14" i="19"/>
  <c r="F14" i="19"/>
  <c r="E14" i="19"/>
  <c r="D14" i="19"/>
  <c r="C14" i="19"/>
  <c r="L11" i="19"/>
  <c r="K11" i="19"/>
  <c r="J11" i="19"/>
  <c r="I11" i="19"/>
  <c r="F11" i="19"/>
  <c r="E11" i="19"/>
  <c r="D11" i="19"/>
  <c r="C11" i="19"/>
  <c r="L19" i="14"/>
  <c r="K19" i="14"/>
  <c r="J19" i="14"/>
  <c r="I19" i="14"/>
  <c r="L17" i="14"/>
  <c r="K17" i="14"/>
  <c r="J17" i="14"/>
  <c r="I17" i="14"/>
  <c r="F17" i="14"/>
  <c r="E17" i="14"/>
  <c r="D17" i="14"/>
  <c r="C17" i="14"/>
  <c r="L14" i="14"/>
  <c r="K14" i="14"/>
  <c r="J14" i="14"/>
  <c r="I14" i="14"/>
  <c r="O8" i="15"/>
  <c r="O7" i="15"/>
  <c r="O30" i="13"/>
  <c r="O21" i="25"/>
  <c r="M12" i="28"/>
  <c r="M21" i="28"/>
  <c r="O21" i="28" s="1"/>
  <c r="X12" i="28"/>
  <c r="L7" i="3"/>
  <c r="K7" i="3"/>
  <c r="J7" i="3"/>
  <c r="I7" i="3"/>
  <c r="I9" i="3" s="1"/>
  <c r="K8" i="3"/>
  <c r="L8" i="3" s="1"/>
  <c r="J8" i="3"/>
  <c r="M7" i="3"/>
  <c r="J28" i="2"/>
  <c r="M27" i="2"/>
  <c r="L27" i="2"/>
  <c r="K27" i="2"/>
  <c r="J27" i="2"/>
  <c r="J30" i="2" s="1"/>
  <c r="M25" i="2"/>
  <c r="M28" i="2" s="1"/>
  <c r="L25" i="2"/>
  <c r="L28" i="2" s="1"/>
  <c r="K25" i="2"/>
  <c r="K28" i="2" s="1"/>
  <c r="J25" i="2"/>
  <c r="I25" i="2"/>
  <c r="L19" i="2"/>
  <c r="K19" i="2"/>
  <c r="J19" i="2"/>
  <c r="L18" i="2"/>
  <c r="K18" i="2"/>
  <c r="J18" i="2"/>
  <c r="I19" i="2"/>
  <c r="I18" i="2"/>
  <c r="M22" i="2"/>
  <c r="L22" i="2"/>
  <c r="K22" i="2"/>
  <c r="J22" i="2"/>
  <c r="I22" i="2"/>
  <c r="M21" i="2"/>
  <c r="L21" i="2"/>
  <c r="K21" i="2"/>
  <c r="J21" i="2"/>
  <c r="I21" i="2"/>
  <c r="M9" i="2"/>
  <c r="M8" i="2"/>
  <c r="M7" i="2"/>
  <c r="L9" i="2"/>
  <c r="K9" i="2"/>
  <c r="J9" i="2"/>
  <c r="I9" i="2"/>
  <c r="L8" i="2"/>
  <c r="K8" i="2"/>
  <c r="J8" i="2"/>
  <c r="I8" i="2"/>
  <c r="L7" i="2"/>
  <c r="K7" i="2"/>
  <c r="J7" i="2"/>
  <c r="I7" i="2"/>
  <c r="G19" i="2"/>
  <c r="G15" i="28" s="1"/>
  <c r="G24" i="28" s="1"/>
  <c r="G18" i="2"/>
  <c r="G14" i="28" s="1"/>
  <c r="G23" i="28" s="1"/>
  <c r="G16" i="2"/>
  <c r="F16" i="2"/>
  <c r="E16" i="2"/>
  <c r="D16" i="2"/>
  <c r="C16" i="2"/>
  <c r="T14" i="26"/>
  <c r="S14" i="26"/>
  <c r="R14" i="26"/>
  <c r="Q14" i="26"/>
  <c r="P14" i="26"/>
  <c r="O14" i="26"/>
  <c r="N14" i="26"/>
  <c r="M14" i="26"/>
  <c r="K14" i="26"/>
  <c r="J14" i="26"/>
  <c r="I14" i="26"/>
  <c r="H14" i="26"/>
  <c r="F14" i="26"/>
  <c r="E14" i="26"/>
  <c r="D14" i="26"/>
  <c r="C14" i="26"/>
  <c r="C21" i="23" s="1"/>
  <c r="G13" i="27"/>
  <c r="L6" i="17"/>
  <c r="K6" i="17"/>
  <c r="J6" i="17"/>
  <c r="I6" i="17"/>
  <c r="L9" i="27"/>
  <c r="K9" i="27"/>
  <c r="J9" i="27"/>
  <c r="I9" i="27"/>
  <c r="F9" i="27"/>
  <c r="E9" i="27"/>
  <c r="D9" i="27"/>
  <c r="C9" i="27"/>
  <c r="G9" i="27" s="1"/>
  <c r="C21" i="14"/>
  <c r="C21" i="17"/>
  <c r="G28" i="24"/>
  <c r="O20" i="28"/>
  <c r="F15" i="28"/>
  <c r="F24" i="28" s="1"/>
  <c r="E15" i="28"/>
  <c r="E24" i="28" s="1"/>
  <c r="D15" i="28"/>
  <c r="D24" i="28" s="1"/>
  <c r="C15" i="28"/>
  <c r="C24" i="28" s="1"/>
  <c r="F14" i="28"/>
  <c r="F23" i="28" s="1"/>
  <c r="E14" i="28"/>
  <c r="E23" i="28" s="1"/>
  <c r="D14" i="28"/>
  <c r="C14" i="28"/>
  <c r="C23" i="28" s="1"/>
  <c r="G12" i="28"/>
  <c r="F12" i="28"/>
  <c r="F6" i="17" s="1"/>
  <c r="E12" i="28"/>
  <c r="E6" i="17" s="1"/>
  <c r="D12" i="28"/>
  <c r="C12" i="28"/>
  <c r="C6" i="17" s="1"/>
  <c r="F9" i="3"/>
  <c r="E9" i="3"/>
  <c r="D9" i="3"/>
  <c r="C9" i="3"/>
  <c r="K9" i="3"/>
  <c r="J9" i="3"/>
  <c r="G7" i="3"/>
  <c r="G9" i="3" s="1"/>
  <c r="O24" i="2"/>
  <c r="O25" i="2"/>
  <c r="F28" i="2"/>
  <c r="E28" i="2"/>
  <c r="D28" i="2"/>
  <c r="C28" i="2"/>
  <c r="F27" i="2"/>
  <c r="E27" i="2"/>
  <c r="D27" i="2"/>
  <c r="D30" i="2" s="1"/>
  <c r="C27" i="2"/>
  <c r="I10" i="27"/>
  <c r="I20" i="27" s="1"/>
  <c r="I15" i="27"/>
  <c r="G10" i="27"/>
  <c r="C23" i="24"/>
  <c r="L13" i="21"/>
  <c r="K13" i="21"/>
  <c r="J13" i="21"/>
  <c r="F13" i="21"/>
  <c r="D13" i="21"/>
  <c r="C13" i="21"/>
  <c r="D13" i="26"/>
  <c r="D23" i="24" s="1"/>
  <c r="T12" i="26"/>
  <c r="S12" i="26"/>
  <c r="R12" i="26"/>
  <c r="Q12" i="26"/>
  <c r="P12" i="26"/>
  <c r="O12" i="26"/>
  <c r="N12" i="26"/>
  <c r="M12" i="26"/>
  <c r="K12" i="26"/>
  <c r="J12" i="26"/>
  <c r="I12" i="26"/>
  <c r="H12" i="26"/>
  <c r="I13" i="21" s="1"/>
  <c r="M13" i="21" s="1"/>
  <c r="F12" i="26"/>
  <c r="E12" i="26"/>
  <c r="E13" i="21" s="1"/>
  <c r="D12" i="26"/>
  <c r="C12" i="26"/>
  <c r="M6" i="17" l="1"/>
  <c r="M8" i="3"/>
  <c r="L9" i="3"/>
  <c r="K30" i="2"/>
  <c r="M30" i="2"/>
  <c r="L30" i="2"/>
  <c r="E30" i="2"/>
  <c r="D18" i="28"/>
  <c r="G28" i="2"/>
  <c r="G27" i="2"/>
  <c r="D6" i="17"/>
  <c r="G6" i="17" s="1"/>
  <c r="G14" i="27"/>
  <c r="G13" i="21"/>
  <c r="D21" i="23"/>
  <c r="E13" i="26"/>
  <c r="M9" i="27"/>
  <c r="I21" i="17"/>
  <c r="F21" i="17"/>
  <c r="C18" i="28"/>
  <c r="F17" i="28"/>
  <c r="G26" i="28"/>
  <c r="E17" i="28"/>
  <c r="F18" i="28"/>
  <c r="E26" i="28"/>
  <c r="G17" i="28"/>
  <c r="D17" i="28"/>
  <c r="F26" i="28"/>
  <c r="O12" i="28"/>
  <c r="C26" i="28"/>
  <c r="D23" i="28"/>
  <c r="D26" i="28" s="1"/>
  <c r="G18" i="28"/>
  <c r="E18" i="28"/>
  <c r="C17" i="28"/>
  <c r="M9" i="3"/>
  <c r="O9" i="3" s="1"/>
  <c r="C6" i="28" s="1"/>
  <c r="C30" i="2"/>
  <c r="F30" i="2"/>
  <c r="J10" i="27"/>
  <c r="J20" i="27" s="1"/>
  <c r="G15" i="27"/>
  <c r="M13" i="27"/>
  <c r="O13" i="27" s="1"/>
  <c r="J15" i="27"/>
  <c r="C24" i="24"/>
  <c r="C8" i="24"/>
  <c r="K16" i="21"/>
  <c r="G19" i="27" l="1"/>
  <c r="G30" i="2"/>
  <c r="F13" i="26"/>
  <c r="E23" i="24"/>
  <c r="E21" i="23"/>
  <c r="K10" i="27"/>
  <c r="K20" i="27" s="1"/>
  <c r="J21" i="17"/>
  <c r="G20" i="27"/>
  <c r="K15" i="27"/>
  <c r="C9" i="24"/>
  <c r="M15" i="25"/>
  <c r="L15" i="25"/>
  <c r="K15" i="25"/>
  <c r="J15" i="25"/>
  <c r="I15" i="25"/>
  <c r="M14" i="25"/>
  <c r="L14" i="25"/>
  <c r="K14" i="25"/>
  <c r="J14" i="25"/>
  <c r="I14" i="25"/>
  <c r="L11" i="25"/>
  <c r="K11" i="25"/>
  <c r="J11" i="25"/>
  <c r="I11" i="25"/>
  <c r="G11" i="25"/>
  <c r="M11" i="25" s="1"/>
  <c r="L10" i="25"/>
  <c r="K10" i="25"/>
  <c r="J10" i="25"/>
  <c r="I10" i="25"/>
  <c r="G10" i="25"/>
  <c r="M10" i="25" s="1"/>
  <c r="B7" i="25"/>
  <c r="B6" i="25"/>
  <c r="B5" i="25"/>
  <c r="H13" i="26" l="1"/>
  <c r="F21" i="23"/>
  <c r="F23" i="24"/>
  <c r="L10" i="27"/>
  <c r="L20" i="27" s="1"/>
  <c r="K21" i="17"/>
  <c r="L15" i="27"/>
  <c r="I13" i="26" l="1"/>
  <c r="H21" i="23"/>
  <c r="M10" i="27"/>
  <c r="M15" i="27"/>
  <c r="O15" i="27" s="1"/>
  <c r="D9" i="24"/>
  <c r="M16" i="21"/>
  <c r="L16" i="21"/>
  <c r="J16" i="21"/>
  <c r="J13" i="26" l="1"/>
  <c r="I21" i="23"/>
  <c r="M20" i="27"/>
  <c r="O20" i="27" s="1"/>
  <c r="L21" i="17"/>
  <c r="O16" i="21"/>
  <c r="L14" i="20"/>
  <c r="K14" i="20"/>
  <c r="J14" i="20"/>
  <c r="I14" i="20"/>
  <c r="C13" i="20"/>
  <c r="K13" i="26" l="1"/>
  <c r="J21" i="23"/>
  <c r="E9" i="24"/>
  <c r="C11" i="21"/>
  <c r="K21" i="23" l="1"/>
  <c r="M21" i="23" s="1"/>
  <c r="M13" i="26"/>
  <c r="N13" i="26" l="1"/>
  <c r="F9" i="24"/>
  <c r="G9" i="24" s="1"/>
  <c r="O13" i="26" l="1"/>
  <c r="F27" i="17"/>
  <c r="E27" i="17"/>
  <c r="D27" i="17"/>
  <c r="C27" i="17"/>
  <c r="L24" i="17"/>
  <c r="K24" i="17"/>
  <c r="J24" i="17"/>
  <c r="I24" i="17"/>
  <c r="G24" i="17"/>
  <c r="G21" i="17"/>
  <c r="G18" i="17"/>
  <c r="G15" i="17"/>
  <c r="G12" i="17"/>
  <c r="P13" i="26" l="1"/>
  <c r="E9" i="21"/>
  <c r="D9" i="21"/>
  <c r="F9" i="21"/>
  <c r="C9" i="21"/>
  <c r="M21" i="17"/>
  <c r="I9" i="24"/>
  <c r="G27" i="17"/>
  <c r="M24" i="17"/>
  <c r="Q13" i="26" l="1"/>
  <c r="G9" i="21"/>
  <c r="F13" i="15"/>
  <c r="E13" i="15"/>
  <c r="D13" i="15"/>
  <c r="C13" i="15"/>
  <c r="R13" i="26" l="1"/>
  <c r="J9" i="24"/>
  <c r="L13" i="15"/>
  <c r="K13" i="15"/>
  <c r="J13" i="15"/>
  <c r="I13" i="15"/>
  <c r="G19" i="14"/>
  <c r="G13" i="15" s="1"/>
  <c r="F12" i="14"/>
  <c r="F11" i="15" s="1"/>
  <c r="E12" i="14"/>
  <c r="E11" i="15" s="1"/>
  <c r="D12" i="14"/>
  <c r="D11" i="15" s="1"/>
  <c r="C12" i="14"/>
  <c r="J12" i="14" l="1"/>
  <c r="J11" i="15" s="1"/>
  <c r="K12" i="14"/>
  <c r="K11" i="15" s="1"/>
  <c r="I12" i="14"/>
  <c r="I11" i="15" s="1"/>
  <c r="L12" i="14"/>
  <c r="L11" i="15" s="1"/>
  <c r="S13" i="26"/>
  <c r="G12" i="14"/>
  <c r="G11" i="15" s="1"/>
  <c r="C11" i="15"/>
  <c r="M19" i="14"/>
  <c r="M13" i="15" s="1"/>
  <c r="O13" i="15" s="1"/>
  <c r="G8" i="13"/>
  <c r="F8" i="13"/>
  <c r="E8" i="13"/>
  <c r="D8" i="13"/>
  <c r="C8" i="13"/>
  <c r="G7" i="13"/>
  <c r="F7" i="13"/>
  <c r="E7" i="13"/>
  <c r="D7" i="13"/>
  <c r="C7" i="13"/>
  <c r="G5" i="13"/>
  <c r="F5" i="13"/>
  <c r="E5" i="13"/>
  <c r="D5" i="13"/>
  <c r="C5" i="13"/>
  <c r="M12" i="14" l="1"/>
  <c r="M11" i="15" s="1"/>
  <c r="O11" i="15" s="1"/>
  <c r="M14" i="27"/>
  <c r="O14" i="27" s="1"/>
  <c r="M19" i="27"/>
  <c r="O19" i="27" s="1"/>
  <c r="T13" i="26"/>
  <c r="K9" i="24"/>
  <c r="G8" i="12"/>
  <c r="F8" i="12"/>
  <c r="E8" i="12"/>
  <c r="D8" i="12"/>
  <c r="C8" i="12"/>
  <c r="G7" i="12"/>
  <c r="F7" i="12"/>
  <c r="E7" i="12"/>
  <c r="D7" i="12"/>
  <c r="C7" i="12"/>
  <c r="G5" i="12"/>
  <c r="F5" i="12"/>
  <c r="E5" i="12"/>
  <c r="D5" i="12"/>
  <c r="C5" i="12"/>
  <c r="F21" i="12" l="1"/>
  <c r="I17" i="12" s="1"/>
  <c r="E21" i="12"/>
  <c r="F17" i="12" s="1"/>
  <c r="D21" i="12"/>
  <c r="E17" i="12" s="1"/>
  <c r="C21" i="12"/>
  <c r="C25" i="12" s="1"/>
  <c r="C7" i="25" s="1"/>
  <c r="C19" i="25" s="1"/>
  <c r="F20" i="12"/>
  <c r="E20" i="12"/>
  <c r="D20" i="12"/>
  <c r="C20" i="12"/>
  <c r="I16" i="12" l="1"/>
  <c r="F16" i="19"/>
  <c r="F16" i="12"/>
  <c r="F24" i="12" s="1"/>
  <c r="E16" i="19"/>
  <c r="D16" i="12"/>
  <c r="C24" i="12"/>
  <c r="C16" i="19"/>
  <c r="C9" i="23" s="1"/>
  <c r="E16" i="12"/>
  <c r="E24" i="12" s="1"/>
  <c r="D16" i="19"/>
  <c r="E25" i="12"/>
  <c r="E7" i="25" s="1"/>
  <c r="E19" i="25" s="1"/>
  <c r="L9" i="24"/>
  <c r="M9" i="24" s="1"/>
  <c r="C7" i="14"/>
  <c r="C12" i="13"/>
  <c r="C20" i="13" s="1"/>
  <c r="C28" i="13" s="1"/>
  <c r="F25" i="12"/>
  <c r="F7" i="25" s="1"/>
  <c r="F19" i="25" s="1"/>
  <c r="D24" i="12"/>
  <c r="D17" i="12"/>
  <c r="D25" i="12" s="1"/>
  <c r="D7" i="25" s="1"/>
  <c r="D19" i="25" s="1"/>
  <c r="D9" i="23" l="1"/>
  <c r="D14" i="24"/>
  <c r="E14" i="24"/>
  <c r="E9" i="23"/>
  <c r="F14" i="24"/>
  <c r="F9" i="23"/>
  <c r="E12" i="13"/>
  <c r="E20" i="13" s="1"/>
  <c r="E28" i="13" s="1"/>
  <c r="G19" i="25"/>
  <c r="E7" i="14"/>
  <c r="O13" i="21"/>
  <c r="D6" i="25"/>
  <c r="D18" i="25" s="1"/>
  <c r="D27" i="12"/>
  <c r="E6" i="25"/>
  <c r="E18" i="25" s="1"/>
  <c r="E21" i="25" s="1"/>
  <c r="E27" i="12"/>
  <c r="F6" i="25"/>
  <c r="F18" i="25" s="1"/>
  <c r="F27" i="12"/>
  <c r="C6" i="25"/>
  <c r="C18" i="25" s="1"/>
  <c r="C27" i="12"/>
  <c r="D7" i="14"/>
  <c r="D12" i="13"/>
  <c r="D20" i="13" s="1"/>
  <c r="D28" i="13" s="1"/>
  <c r="D6" i="14"/>
  <c r="D11" i="13"/>
  <c r="D19" i="13" s="1"/>
  <c r="D5" i="27" s="1"/>
  <c r="E6" i="14"/>
  <c r="E11" i="13"/>
  <c r="E19" i="13" s="1"/>
  <c r="E5" i="27" s="1"/>
  <c r="C6" i="14"/>
  <c r="C14" i="14" s="1"/>
  <c r="C11" i="13"/>
  <c r="C19" i="13" s="1"/>
  <c r="C5" i="27" s="1"/>
  <c r="F6" i="14"/>
  <c r="F11" i="13"/>
  <c r="F19" i="13" s="1"/>
  <c r="F7" i="14"/>
  <c r="F12" i="13"/>
  <c r="F20" i="13" s="1"/>
  <c r="F28" i="13" s="1"/>
  <c r="G24" i="12"/>
  <c r="G25" i="12"/>
  <c r="G7" i="25" s="1"/>
  <c r="F5" i="27" l="1"/>
  <c r="F21" i="27" s="1"/>
  <c r="E8" i="27"/>
  <c r="E21" i="27"/>
  <c r="D8" i="27"/>
  <c r="D21" i="27"/>
  <c r="G14" i="24"/>
  <c r="C8" i="27"/>
  <c r="C21" i="27"/>
  <c r="E14" i="14"/>
  <c r="E12" i="15" s="1"/>
  <c r="E7" i="15"/>
  <c r="E27" i="13"/>
  <c r="D27" i="13"/>
  <c r="F27" i="13"/>
  <c r="F30" i="13" s="1"/>
  <c r="C27" i="13"/>
  <c r="C30" i="13" s="1"/>
  <c r="G18" i="25"/>
  <c r="G21" i="25" s="1"/>
  <c r="C21" i="25"/>
  <c r="F7" i="15"/>
  <c r="F21" i="25"/>
  <c r="D7" i="15"/>
  <c r="D21" i="25"/>
  <c r="G6" i="25"/>
  <c r="G27" i="12"/>
  <c r="F14" i="14"/>
  <c r="F12" i="15" s="1"/>
  <c r="G28" i="13"/>
  <c r="G6" i="14"/>
  <c r="G11" i="13"/>
  <c r="C12" i="15"/>
  <c r="D14" i="14"/>
  <c r="D12" i="15" s="1"/>
  <c r="G7" i="14"/>
  <c r="G12" i="13"/>
  <c r="C7" i="15"/>
  <c r="F8" i="27" l="1"/>
  <c r="F7" i="27" s="1"/>
  <c r="G7" i="15"/>
  <c r="F8" i="15"/>
  <c r="F14" i="15" s="1"/>
  <c r="F7" i="21" s="1"/>
  <c r="D7" i="27"/>
  <c r="D8" i="15"/>
  <c r="D14" i="15" s="1"/>
  <c r="D30" i="13"/>
  <c r="G27" i="13"/>
  <c r="E7" i="27"/>
  <c r="C8" i="15"/>
  <c r="C14" i="15" s="1"/>
  <c r="E8" i="15"/>
  <c r="E14" i="15" s="1"/>
  <c r="E30" i="13"/>
  <c r="J10" i="2"/>
  <c r="J16" i="2" s="1"/>
  <c r="K10" i="2"/>
  <c r="K16" i="2" s="1"/>
  <c r="L10" i="2"/>
  <c r="L16" i="2" s="1"/>
  <c r="I10" i="2"/>
  <c r="G17" i="14"/>
  <c r="G12" i="15" s="1"/>
  <c r="C21" i="2"/>
  <c r="I17" i="28" s="1"/>
  <c r="I14" i="28" s="1"/>
  <c r="D21" i="2"/>
  <c r="J17" i="28" s="1"/>
  <c r="J14" i="28" s="1"/>
  <c r="J23" i="28" s="1"/>
  <c r="E21" i="2"/>
  <c r="K17" i="28" s="1"/>
  <c r="K14" i="28" s="1"/>
  <c r="K23" i="28" s="1"/>
  <c r="F21" i="2"/>
  <c r="L17" i="28" s="1"/>
  <c r="L14" i="28" s="1"/>
  <c r="L23" i="28" s="1"/>
  <c r="G21" i="2"/>
  <c r="M17" i="28" s="1"/>
  <c r="C22" i="2"/>
  <c r="I18" i="28" s="1"/>
  <c r="I15" i="28" s="1"/>
  <c r="D22" i="2"/>
  <c r="J18" i="28" s="1"/>
  <c r="J15" i="28" s="1"/>
  <c r="J24" i="28" s="1"/>
  <c r="E22" i="2"/>
  <c r="K18" i="28" s="1"/>
  <c r="K15" i="28" s="1"/>
  <c r="K24" i="28" s="1"/>
  <c r="F22" i="2"/>
  <c r="L18" i="28" s="1"/>
  <c r="L15" i="28" s="1"/>
  <c r="L24" i="28" s="1"/>
  <c r="G22" i="2"/>
  <c r="M18" i="28" s="1"/>
  <c r="L26" i="28" l="1"/>
  <c r="K26" i="28"/>
  <c r="M10" i="2"/>
  <c r="M16" i="2" s="1"/>
  <c r="I16" i="2"/>
  <c r="J26" i="28"/>
  <c r="I24" i="28"/>
  <c r="M15" i="28"/>
  <c r="M24" i="28" s="1"/>
  <c r="I23" i="28"/>
  <c r="M14" i="28"/>
  <c r="M23" i="28" s="1"/>
  <c r="F7" i="19"/>
  <c r="F17" i="19" s="1"/>
  <c r="F20" i="19" s="1"/>
  <c r="G18" i="27"/>
  <c r="G21" i="27" s="1"/>
  <c r="D7" i="21"/>
  <c r="D7" i="19"/>
  <c r="E7" i="21"/>
  <c r="E7" i="19"/>
  <c r="G8" i="15"/>
  <c r="G14" i="15" s="1"/>
  <c r="G30" i="13"/>
  <c r="G8" i="27"/>
  <c r="G7" i="27" s="1"/>
  <c r="C7" i="27"/>
  <c r="C7" i="21"/>
  <c r="C7" i="19"/>
  <c r="D17" i="19" l="1"/>
  <c r="D20" i="19" s="1"/>
  <c r="I26" i="28"/>
  <c r="M26" i="28"/>
  <c r="O26" i="28" s="1"/>
  <c r="F17" i="23"/>
  <c r="D6" i="21"/>
  <c r="D8" i="21" s="1"/>
  <c r="D10" i="21" s="1"/>
  <c r="G7" i="21"/>
  <c r="G7" i="19"/>
  <c r="E17" i="23"/>
  <c r="E17" i="19"/>
  <c r="E20" i="19" s="1"/>
  <c r="E6" i="21"/>
  <c r="E8" i="21" s="1"/>
  <c r="E10" i="21" s="1"/>
  <c r="E6" i="20"/>
  <c r="E6" i="19"/>
  <c r="E7" i="17"/>
  <c r="E22" i="17" s="1"/>
  <c r="C17" i="19"/>
  <c r="C20" i="19" s="1"/>
  <c r="C17" i="23"/>
  <c r="C6" i="21"/>
  <c r="C8" i="21" s="1"/>
  <c r="C10" i="21" s="1"/>
  <c r="C6" i="20"/>
  <c r="C6" i="19"/>
  <c r="C8" i="23" s="1"/>
  <c r="C7" i="17"/>
  <c r="D17" i="23"/>
  <c r="F6" i="21"/>
  <c r="F8" i="21" s="1"/>
  <c r="F10" i="21" s="1"/>
  <c r="F6" i="20"/>
  <c r="F6" i="19"/>
  <c r="F7" i="17"/>
  <c r="F22" i="17" s="1"/>
  <c r="G9" i="2"/>
  <c r="G8" i="2"/>
  <c r="G7" i="2"/>
  <c r="F10" i="2"/>
  <c r="E10" i="2"/>
  <c r="D10" i="2"/>
  <c r="C10" i="2"/>
  <c r="C22" i="17" l="1"/>
  <c r="C20" i="24"/>
  <c r="C21" i="24" s="1"/>
  <c r="C11" i="20"/>
  <c r="I11" i="20" s="1"/>
  <c r="F20" i="24"/>
  <c r="F21" i="24" s="1"/>
  <c r="F11" i="20"/>
  <c r="L11" i="20" s="1"/>
  <c r="E20" i="24"/>
  <c r="E21" i="24" s="1"/>
  <c r="E11" i="20"/>
  <c r="K11" i="20" s="1"/>
  <c r="D7" i="17"/>
  <c r="D22" i="17" s="1"/>
  <c r="D6" i="20"/>
  <c r="D15" i="24"/>
  <c r="D6" i="19"/>
  <c r="D8" i="23" s="1"/>
  <c r="E15" i="24"/>
  <c r="F15" i="24"/>
  <c r="C12" i="21"/>
  <c r="C14" i="21" s="1"/>
  <c r="C11" i="24"/>
  <c r="G6" i="21"/>
  <c r="G8" i="21" s="1"/>
  <c r="G10" i="21" s="1"/>
  <c r="G6" i="20"/>
  <c r="G6" i="19"/>
  <c r="C18" i="19"/>
  <c r="F25" i="17"/>
  <c r="F16" i="17"/>
  <c r="L16" i="17" s="1"/>
  <c r="F19" i="17"/>
  <c r="L19" i="17" s="1"/>
  <c r="F13" i="17"/>
  <c r="E16" i="17"/>
  <c r="K16" i="17" s="1"/>
  <c r="E19" i="17"/>
  <c r="K19" i="17" s="1"/>
  <c r="E25" i="17"/>
  <c r="E13" i="17"/>
  <c r="F13" i="24"/>
  <c r="F8" i="23"/>
  <c r="F18" i="19"/>
  <c r="D11" i="24"/>
  <c r="E8" i="23"/>
  <c r="E18" i="19"/>
  <c r="C13" i="17"/>
  <c r="C16" i="17"/>
  <c r="I16" i="17" s="1"/>
  <c r="C19" i="17"/>
  <c r="I19" i="17" s="1"/>
  <c r="C25" i="17"/>
  <c r="G10" i="20"/>
  <c r="C16" i="20"/>
  <c r="F11" i="24"/>
  <c r="E11" i="24"/>
  <c r="G10" i="2"/>
  <c r="O10" i="2" s="1"/>
  <c r="D13" i="17" l="1"/>
  <c r="D19" i="17"/>
  <c r="J19" i="17" s="1"/>
  <c r="D25" i="17"/>
  <c r="D16" i="17"/>
  <c r="J16" i="17" s="1"/>
  <c r="G7" i="17"/>
  <c r="G22" i="17" s="1"/>
  <c r="D20" i="24"/>
  <c r="D21" i="24" s="1"/>
  <c r="D11" i="20"/>
  <c r="J11" i="20" s="1"/>
  <c r="E13" i="24"/>
  <c r="G15" i="24"/>
  <c r="D18" i="19"/>
  <c r="G18" i="19" s="1"/>
  <c r="D13" i="24"/>
  <c r="G11" i="24"/>
  <c r="D8" i="20"/>
  <c r="D13" i="20" s="1"/>
  <c r="D21" i="14" s="1"/>
  <c r="C12" i="23"/>
  <c r="G20" i="24" l="1"/>
  <c r="G21" i="24" s="1"/>
  <c r="G25" i="17"/>
  <c r="G19" i="17"/>
  <c r="G16" i="17"/>
  <c r="G13" i="17"/>
  <c r="I13" i="17" s="1"/>
  <c r="J13" i="17" s="1"/>
  <c r="G13" i="24"/>
  <c r="D16" i="20"/>
  <c r="D11" i="21"/>
  <c r="D34" i="23" l="1"/>
  <c r="D8" i="24"/>
  <c r="D12" i="21"/>
  <c r="D14" i="21" s="1"/>
  <c r="D15" i="21" s="1"/>
  <c r="K13" i="17"/>
  <c r="E8" i="20"/>
  <c r="E13" i="20" s="1"/>
  <c r="E21" i="14" s="1"/>
  <c r="D12" i="23"/>
  <c r="D33" i="23" s="1"/>
  <c r="D35" i="23" l="1"/>
  <c r="D36" i="23" s="1"/>
  <c r="D10" i="24"/>
  <c r="L13" i="17"/>
  <c r="E16" i="20"/>
  <c r="E11" i="21"/>
  <c r="E34" i="23" l="1"/>
  <c r="E8" i="24"/>
  <c r="D17" i="21"/>
  <c r="D7" i="24" s="1"/>
  <c r="J5" i="12"/>
  <c r="J5" i="13"/>
  <c r="D17" i="24"/>
  <c r="D18" i="24" s="1"/>
  <c r="K5" i="12"/>
  <c r="K5" i="13"/>
  <c r="L5" i="12"/>
  <c r="L5" i="13"/>
  <c r="E12" i="21"/>
  <c r="E14" i="21" s="1"/>
  <c r="E15" i="21" s="1"/>
  <c r="O6" i="17"/>
  <c r="M5" i="13"/>
  <c r="O5" i="13" s="1"/>
  <c r="O16" i="2"/>
  <c r="F8" i="20"/>
  <c r="E12" i="23"/>
  <c r="E33" i="23" s="1"/>
  <c r="I5" i="12"/>
  <c r="I5" i="13"/>
  <c r="I28" i="2" l="1"/>
  <c r="M19" i="2"/>
  <c r="M18" i="2"/>
  <c r="I27" i="2"/>
  <c r="E35" i="23"/>
  <c r="E36" i="23" s="1"/>
  <c r="D30" i="23"/>
  <c r="E10" i="24"/>
  <c r="D24" i="24"/>
  <c r="D26" i="24" s="1"/>
  <c r="M5" i="12"/>
  <c r="O5" i="12" s="1"/>
  <c r="K7" i="13"/>
  <c r="J7" i="13"/>
  <c r="F13" i="20"/>
  <c r="L8" i="13"/>
  <c r="L7" i="13"/>
  <c r="I7" i="13"/>
  <c r="K8" i="13"/>
  <c r="I8" i="13"/>
  <c r="J8" i="13"/>
  <c r="M7" i="13" l="1"/>
  <c r="I30" i="2"/>
  <c r="M8" i="13"/>
  <c r="O30" i="2"/>
  <c r="C5" i="28" s="1"/>
  <c r="C7" i="28" s="1"/>
  <c r="F16" i="20"/>
  <c r="F21" i="14"/>
  <c r="G21" i="14" s="1"/>
  <c r="E17" i="24"/>
  <c r="E18" i="24" s="1"/>
  <c r="E17" i="21"/>
  <c r="E7" i="24" s="1"/>
  <c r="K8" i="12"/>
  <c r="J7" i="12"/>
  <c r="L8" i="12"/>
  <c r="M8" i="12"/>
  <c r="K7" i="12"/>
  <c r="I8" i="12"/>
  <c r="F12" i="23"/>
  <c r="F33" i="23" s="1"/>
  <c r="I8" i="20"/>
  <c r="I7" i="12"/>
  <c r="F11" i="21"/>
  <c r="G13" i="20"/>
  <c r="L7" i="12"/>
  <c r="J8" i="12"/>
  <c r="M7" i="12"/>
  <c r="F34" i="23" l="1"/>
  <c r="F35" i="23" s="1"/>
  <c r="F36" i="23" s="1"/>
  <c r="F8" i="24"/>
  <c r="G8" i="24" s="1"/>
  <c r="L6" i="21"/>
  <c r="J6" i="21"/>
  <c r="K6" i="20"/>
  <c r="K10" i="20" s="1"/>
  <c r="K20" i="24" s="1"/>
  <c r="K21" i="24" s="1"/>
  <c r="E30" i="23"/>
  <c r="E24" i="24"/>
  <c r="E26" i="24" s="1"/>
  <c r="L20" i="12"/>
  <c r="K21" i="12"/>
  <c r="L17" i="12" s="1"/>
  <c r="L7" i="17"/>
  <c r="L22" i="17" s="1"/>
  <c r="K20" i="12"/>
  <c r="K16" i="19" s="1"/>
  <c r="I20" i="12"/>
  <c r="J20" i="12"/>
  <c r="I21" i="12"/>
  <c r="J17" i="12" s="1"/>
  <c r="F12" i="21"/>
  <c r="F14" i="21" s="1"/>
  <c r="F15" i="21" s="1"/>
  <c r="G11" i="21"/>
  <c r="G12" i="21" s="1"/>
  <c r="G14" i="21" s="1"/>
  <c r="G15" i="21" s="1"/>
  <c r="M6" i="21"/>
  <c r="M6" i="20"/>
  <c r="O6" i="20" s="1"/>
  <c r="M6" i="19"/>
  <c r="O6" i="19" s="1"/>
  <c r="J21" i="12"/>
  <c r="K17" i="12" s="1"/>
  <c r="I13" i="20"/>
  <c r="I21" i="14" s="1"/>
  <c r="L21" i="12"/>
  <c r="J16" i="19" l="1"/>
  <c r="L16" i="19"/>
  <c r="I24" i="12"/>
  <c r="I16" i="19"/>
  <c r="L6" i="19"/>
  <c r="L10" i="19" s="1"/>
  <c r="K8" i="23" s="1"/>
  <c r="M8" i="23" s="1"/>
  <c r="L25" i="12"/>
  <c r="L7" i="25" s="1"/>
  <c r="L19" i="25" s="1"/>
  <c r="L6" i="20"/>
  <c r="L10" i="20" s="1"/>
  <c r="L20" i="24" s="1"/>
  <c r="L21" i="24" s="1"/>
  <c r="K6" i="19"/>
  <c r="K10" i="19" s="1"/>
  <c r="J8" i="23" s="1"/>
  <c r="K7" i="17"/>
  <c r="K22" i="17" s="1"/>
  <c r="K6" i="21"/>
  <c r="J7" i="17"/>
  <c r="J22" i="17" s="1"/>
  <c r="J6" i="19"/>
  <c r="J10" i="19" s="1"/>
  <c r="I8" i="23" s="1"/>
  <c r="J6" i="20"/>
  <c r="J10" i="20" s="1"/>
  <c r="J20" i="24" s="1"/>
  <c r="J21" i="24" s="1"/>
  <c r="I25" i="12"/>
  <c r="I7" i="25" s="1"/>
  <c r="I19" i="25" s="1"/>
  <c r="F10" i="24"/>
  <c r="I6" i="25"/>
  <c r="I18" i="25" s="1"/>
  <c r="K25" i="12"/>
  <c r="K7" i="25" s="1"/>
  <c r="K19" i="25" s="1"/>
  <c r="K9" i="23"/>
  <c r="M9" i="23" s="1"/>
  <c r="K16" i="12"/>
  <c r="K24" i="12" s="1"/>
  <c r="O6" i="21"/>
  <c r="J16" i="12"/>
  <c r="J24" i="12" s="1"/>
  <c r="I6" i="14"/>
  <c r="I11" i="13"/>
  <c r="I19" i="13" s="1"/>
  <c r="L16" i="12"/>
  <c r="L24" i="12" s="1"/>
  <c r="J25" i="12"/>
  <c r="J7" i="25" s="1"/>
  <c r="J19" i="25" s="1"/>
  <c r="I11" i="21"/>
  <c r="L25" i="17"/>
  <c r="L18" i="17"/>
  <c r="L15" i="17"/>
  <c r="L12" i="17"/>
  <c r="I6" i="21"/>
  <c r="I6" i="20"/>
  <c r="I10" i="20" s="1"/>
  <c r="I6" i="19"/>
  <c r="I10" i="19" s="1"/>
  <c r="I7" i="17"/>
  <c r="I22" i="17" l="1"/>
  <c r="M7" i="17"/>
  <c r="M22" i="17" s="1"/>
  <c r="J25" i="17"/>
  <c r="L12" i="13"/>
  <c r="L20" i="13" s="1"/>
  <c r="L28" i="13" s="1"/>
  <c r="L7" i="14"/>
  <c r="K15" i="17"/>
  <c r="H34" i="23"/>
  <c r="I8" i="24"/>
  <c r="K18" i="17"/>
  <c r="I12" i="13"/>
  <c r="I20" i="13" s="1"/>
  <c r="I28" i="13" s="1"/>
  <c r="K12" i="17"/>
  <c r="J18" i="17"/>
  <c r="I7" i="14"/>
  <c r="I27" i="12"/>
  <c r="I21" i="25"/>
  <c r="J12" i="17"/>
  <c r="J15" i="17"/>
  <c r="K25" i="17"/>
  <c r="K7" i="14"/>
  <c r="K12" i="13"/>
  <c r="K20" i="13" s="1"/>
  <c r="K28" i="13" s="1"/>
  <c r="I27" i="13"/>
  <c r="L27" i="17"/>
  <c r="L9" i="21" s="1"/>
  <c r="F17" i="21"/>
  <c r="F7" i="24" s="1"/>
  <c r="K6" i="25"/>
  <c r="K18" i="25" s="1"/>
  <c r="K21" i="25" s="1"/>
  <c r="K27" i="12"/>
  <c r="L6" i="25"/>
  <c r="L18" i="25" s="1"/>
  <c r="L27" i="12"/>
  <c r="J6" i="25"/>
  <c r="J18" i="25" s="1"/>
  <c r="J21" i="25" s="1"/>
  <c r="J27" i="12"/>
  <c r="M25" i="12"/>
  <c r="M7" i="25" s="1"/>
  <c r="M19" i="25" s="1"/>
  <c r="K13" i="24"/>
  <c r="K6" i="14"/>
  <c r="K11" i="13"/>
  <c r="K19" i="13" s="1"/>
  <c r="M24" i="12"/>
  <c r="L6" i="14"/>
  <c r="L11" i="13"/>
  <c r="L19" i="13" s="1"/>
  <c r="L5" i="27" s="1"/>
  <c r="I7" i="15"/>
  <c r="F17" i="24"/>
  <c r="F18" i="24" s="1"/>
  <c r="G17" i="21"/>
  <c r="I9" i="23"/>
  <c r="J9" i="23"/>
  <c r="L13" i="24"/>
  <c r="J6" i="14"/>
  <c r="J11" i="13"/>
  <c r="J19" i="13" s="1"/>
  <c r="H8" i="23"/>
  <c r="I13" i="24" s="1"/>
  <c r="H9" i="23"/>
  <c r="I14" i="24" s="1"/>
  <c r="I25" i="17"/>
  <c r="I18" i="17"/>
  <c r="I15" i="17"/>
  <c r="I12" i="17"/>
  <c r="I20" i="24"/>
  <c r="I21" i="24" s="1"/>
  <c r="M10" i="20"/>
  <c r="I16" i="20"/>
  <c r="J7" i="14"/>
  <c r="J12" i="13"/>
  <c r="J20" i="13" s="1"/>
  <c r="J28" i="13" s="1"/>
  <c r="L12" i="15" l="1"/>
  <c r="J5" i="27"/>
  <c r="J8" i="27" s="1"/>
  <c r="M25" i="17"/>
  <c r="O7" i="17"/>
  <c r="L21" i="27"/>
  <c r="L8" i="27"/>
  <c r="K5" i="27"/>
  <c r="I5" i="27"/>
  <c r="K27" i="17"/>
  <c r="K9" i="21" s="1"/>
  <c r="I30" i="13"/>
  <c r="M12" i="17"/>
  <c r="M13" i="17" s="1"/>
  <c r="I8" i="15"/>
  <c r="J27" i="17"/>
  <c r="J9" i="21" s="1"/>
  <c r="M15" i="17"/>
  <c r="M16" i="17" s="1"/>
  <c r="K12" i="15"/>
  <c r="M28" i="13"/>
  <c r="M7" i="14"/>
  <c r="L27" i="13"/>
  <c r="J27" i="13"/>
  <c r="J30" i="13" s="1"/>
  <c r="K7" i="15"/>
  <c r="K27" i="13"/>
  <c r="F30" i="23"/>
  <c r="F24" i="24"/>
  <c r="L7" i="15"/>
  <c r="L21" i="25"/>
  <c r="M6" i="25"/>
  <c r="M18" i="25" s="1"/>
  <c r="M21" i="25" s="1"/>
  <c r="M27" i="12"/>
  <c r="O27" i="12" s="1"/>
  <c r="M12" i="13"/>
  <c r="G23" i="24"/>
  <c r="G24" i="24" s="1"/>
  <c r="M20" i="24"/>
  <c r="M21" i="24" s="1"/>
  <c r="O21" i="24" s="1"/>
  <c r="K14" i="24"/>
  <c r="J7" i="15"/>
  <c r="I12" i="15"/>
  <c r="M6" i="14"/>
  <c r="M11" i="13"/>
  <c r="J14" i="24"/>
  <c r="M18" i="17"/>
  <c r="I27" i="17"/>
  <c r="H12" i="23"/>
  <c r="J8" i="20"/>
  <c r="J12" i="15"/>
  <c r="L14" i="24"/>
  <c r="J13" i="24"/>
  <c r="M13" i="24" s="1"/>
  <c r="J21" i="27" l="1"/>
  <c r="K21" i="27"/>
  <c r="K8" i="27"/>
  <c r="K7" i="27" s="1"/>
  <c r="I8" i="27"/>
  <c r="I7" i="27" s="1"/>
  <c r="I21" i="27"/>
  <c r="I14" i="15"/>
  <c r="I7" i="21" s="1"/>
  <c r="I8" i="21" s="1"/>
  <c r="J8" i="15"/>
  <c r="J14" i="15" s="1"/>
  <c r="J7" i="21" s="1"/>
  <c r="J8" i="21" s="1"/>
  <c r="J10" i="21" s="1"/>
  <c r="M27" i="13"/>
  <c r="M30" i="13" s="1"/>
  <c r="K8" i="15"/>
  <c r="K14" i="15" s="1"/>
  <c r="K30" i="13"/>
  <c r="J7" i="27"/>
  <c r="L7" i="27"/>
  <c r="L8" i="15"/>
  <c r="L14" i="15" s="1"/>
  <c r="L7" i="21" s="1"/>
  <c r="L8" i="21" s="1"/>
  <c r="L10" i="21" s="1"/>
  <c r="L11" i="24" s="1"/>
  <c r="L30" i="13"/>
  <c r="I9" i="21"/>
  <c r="H33" i="23"/>
  <c r="H35" i="23" s="1"/>
  <c r="H36" i="23" s="1"/>
  <c r="M7" i="15"/>
  <c r="M17" i="14"/>
  <c r="M12" i="15" s="1"/>
  <c r="O12" i="15" s="1"/>
  <c r="F26" i="24"/>
  <c r="M14" i="24"/>
  <c r="M19" i="17"/>
  <c r="M27" i="17"/>
  <c r="J13" i="20"/>
  <c r="J16" i="20" l="1"/>
  <c r="J21" i="14"/>
  <c r="I7" i="19"/>
  <c r="I17" i="19" s="1"/>
  <c r="I20" i="19" s="1"/>
  <c r="M8" i="15"/>
  <c r="M14" i="15" s="1"/>
  <c r="O14" i="15" s="1"/>
  <c r="M18" i="27"/>
  <c r="K7" i="21"/>
  <c r="K8" i="21" s="1"/>
  <c r="K10" i="21" s="1"/>
  <c r="K11" i="24" s="1"/>
  <c r="K7" i="19"/>
  <c r="M8" i="27"/>
  <c r="J7" i="19"/>
  <c r="J17" i="19" s="1"/>
  <c r="J20" i="19" s="1"/>
  <c r="L7" i="19"/>
  <c r="I10" i="21"/>
  <c r="I11" i="24" s="1"/>
  <c r="M9" i="21"/>
  <c r="O9" i="21" s="1"/>
  <c r="I12" i="23"/>
  <c r="K8" i="20"/>
  <c r="J11" i="21"/>
  <c r="J12" i="21" s="1"/>
  <c r="J14" i="21" s="1"/>
  <c r="J15" i="21" s="1"/>
  <c r="J11" i="24"/>
  <c r="I13" i="19" l="1"/>
  <c r="H17" i="23" s="1"/>
  <c r="I15" i="24" s="1"/>
  <c r="O18" i="27"/>
  <c r="M21" i="27"/>
  <c r="O21" i="27" s="1"/>
  <c r="M7" i="21"/>
  <c r="M8" i="21" s="1"/>
  <c r="M7" i="19"/>
  <c r="O7" i="19" s="1"/>
  <c r="J13" i="19"/>
  <c r="I17" i="23" s="1"/>
  <c r="L13" i="19"/>
  <c r="L17" i="19"/>
  <c r="L20" i="19" s="1"/>
  <c r="M7" i="27"/>
  <c r="O7" i="27" s="1"/>
  <c r="I34" i="23"/>
  <c r="J8" i="24"/>
  <c r="K17" i="19"/>
  <c r="K20" i="19" s="1"/>
  <c r="K13" i="19"/>
  <c r="I12" i="21"/>
  <c r="I14" i="21" s="1"/>
  <c r="J10" i="24"/>
  <c r="I33" i="23"/>
  <c r="M11" i="24"/>
  <c r="K13" i="20"/>
  <c r="I18" i="19" l="1"/>
  <c r="K16" i="20"/>
  <c r="K21" i="14"/>
  <c r="O7" i="21"/>
  <c r="J18" i="19"/>
  <c r="I35" i="23"/>
  <c r="I36" i="23" s="1"/>
  <c r="J17" i="23"/>
  <c r="K15" i="24" s="1"/>
  <c r="K18" i="19"/>
  <c r="L18" i="19"/>
  <c r="K17" i="23"/>
  <c r="M17" i="23" s="1"/>
  <c r="J17" i="24"/>
  <c r="J17" i="21"/>
  <c r="J7" i="24" s="1"/>
  <c r="M10" i="21"/>
  <c r="O8" i="21"/>
  <c r="J15" i="24"/>
  <c r="K11" i="21"/>
  <c r="K8" i="24" s="1"/>
  <c r="L8" i="20"/>
  <c r="J12" i="23"/>
  <c r="L15" i="24" l="1"/>
  <c r="M15" i="24" s="1"/>
  <c r="J18" i="24"/>
  <c r="M18" i="19"/>
  <c r="O18" i="19" s="1"/>
  <c r="K12" i="21"/>
  <c r="K14" i="21" s="1"/>
  <c r="K15" i="21" s="1"/>
  <c r="J34" i="23"/>
  <c r="J33" i="23"/>
  <c r="I30" i="23"/>
  <c r="L13" i="20"/>
  <c r="O10" i="21"/>
  <c r="L16" i="20" l="1"/>
  <c r="K12" i="23" s="1"/>
  <c r="L21" i="14"/>
  <c r="M21" i="14" s="1"/>
  <c r="J35" i="23"/>
  <c r="J36" i="23" s="1"/>
  <c r="K17" i="24"/>
  <c r="K18" i="24" s="1"/>
  <c r="J24" i="24"/>
  <c r="J26" i="24" s="1"/>
  <c r="I24" i="24"/>
  <c r="L11" i="21"/>
  <c r="L8" i="24" s="1"/>
  <c r="M8" i="24" s="1"/>
  <c r="M13" i="20"/>
  <c r="M11" i="21" s="1"/>
  <c r="K33" i="23" l="1"/>
  <c r="M12" i="23"/>
  <c r="K10" i="24"/>
  <c r="K17" i="21"/>
  <c r="K7" i="24" s="1"/>
  <c r="L12" i="21"/>
  <c r="L14" i="21" s="1"/>
  <c r="K34" i="23"/>
  <c r="O11" i="21"/>
  <c r="M12" i="21"/>
  <c r="M14" i="21" s="1"/>
  <c r="M15" i="21" s="1"/>
  <c r="K35" i="23" l="1"/>
  <c r="K36" i="23" s="1"/>
  <c r="L15" i="21"/>
  <c r="L10" i="24" s="1"/>
  <c r="M17" i="21"/>
  <c r="O14" i="21"/>
  <c r="J30" i="23"/>
  <c r="O12" i="21"/>
  <c r="L17" i="24" l="1"/>
  <c r="L18" i="24" s="1"/>
  <c r="L17" i="21"/>
  <c r="L7" i="24" s="1"/>
  <c r="K24" i="24"/>
  <c r="K26" i="24" s="1"/>
  <c r="O17" i="21"/>
  <c r="O15" i="21"/>
  <c r="K30" i="23" l="1"/>
  <c r="M23" i="24" l="1"/>
  <c r="M24" i="24" s="1"/>
  <c r="O24" i="24" s="1"/>
  <c r="L24" i="24"/>
  <c r="L26" i="24" s="1"/>
  <c r="I16" i="21" l="1"/>
  <c r="I15" i="21" s="1"/>
  <c r="C15" i="21"/>
  <c r="C17" i="24" s="1"/>
  <c r="I17" i="21" l="1"/>
  <c r="I10" i="24"/>
  <c r="M10" i="24" s="1"/>
  <c r="I17" i="24"/>
  <c r="C18" i="24"/>
  <c r="C26" i="24" s="1"/>
  <c r="G17" i="24"/>
  <c r="G18" i="24" s="1"/>
  <c r="G26" i="24" s="1"/>
  <c r="C17" i="21"/>
  <c r="C7" i="24" s="1"/>
  <c r="G7" i="24" s="1"/>
  <c r="C10" i="24"/>
  <c r="G10" i="24" s="1"/>
  <c r="G29" i="24" l="1"/>
  <c r="C29" i="24"/>
  <c r="I18" i="24"/>
  <c r="I26" i="24" s="1"/>
  <c r="M17" i="24"/>
  <c r="M18" i="24" s="1"/>
  <c r="I7" i="24"/>
  <c r="M7" i="24" s="1"/>
  <c r="H30" i="23"/>
  <c r="M26" i="24" l="1"/>
  <c r="O26" i="24" s="1"/>
  <c r="O18" i="24"/>
  <c r="C30" i="24"/>
  <c r="C32" i="24" s="1"/>
  <c r="D28" i="24"/>
  <c r="D29" i="24" s="1"/>
  <c r="C7" i="23"/>
  <c r="M28" i="24"/>
  <c r="G30" i="24"/>
  <c r="G32" i="24" s="1"/>
  <c r="M29" i="24" l="1"/>
  <c r="O29" i="24" s="1"/>
  <c r="C14" i="23"/>
  <c r="D7" i="23"/>
  <c r="E28" i="24"/>
  <c r="E29" i="24" s="1"/>
  <c r="D30" i="24"/>
  <c r="D32" i="24" s="1"/>
  <c r="M30" i="24" l="1"/>
  <c r="M32" i="24" s="1"/>
  <c r="D14" i="23"/>
  <c r="E7" i="23"/>
  <c r="F28" i="24"/>
  <c r="F29" i="24" s="1"/>
  <c r="E30" i="24"/>
  <c r="E32" i="24" s="1"/>
  <c r="C25" i="23"/>
  <c r="C23" i="23" s="1"/>
  <c r="D23" i="23" s="1"/>
  <c r="E23" i="23" l="1"/>
  <c r="D29" i="23"/>
  <c r="D31" i="23" s="1"/>
  <c r="D25" i="23"/>
  <c r="D27" i="23" s="1"/>
  <c r="C27" i="23"/>
  <c r="F30" i="24"/>
  <c r="F32" i="24" s="1"/>
  <c r="I28" i="24"/>
  <c r="I29" i="24" s="1"/>
  <c r="E14" i="23"/>
  <c r="F7" i="23"/>
  <c r="F14" i="23" l="1"/>
  <c r="H7" i="23"/>
  <c r="I30" i="24"/>
  <c r="I32" i="24" s="1"/>
  <c r="J28" i="24"/>
  <c r="J29" i="24" s="1"/>
  <c r="E25" i="23"/>
  <c r="E27" i="23" s="1"/>
  <c r="E29" i="23"/>
  <c r="E31" i="23" s="1"/>
  <c r="F23" i="23"/>
  <c r="J30" i="24" l="1"/>
  <c r="J32" i="24" s="1"/>
  <c r="K28" i="24"/>
  <c r="K29" i="24" s="1"/>
  <c r="H14" i="23"/>
  <c r="I7" i="23"/>
  <c r="H23" i="23"/>
  <c r="F29" i="23"/>
  <c r="F31" i="23" s="1"/>
  <c r="F25" i="23"/>
  <c r="F27" i="23" s="1"/>
  <c r="H29" i="23" l="1"/>
  <c r="H31" i="23" s="1"/>
  <c r="H25" i="23"/>
  <c r="H27" i="23" s="1"/>
  <c r="I23" i="23"/>
  <c r="I14" i="23"/>
  <c r="J7" i="23"/>
  <c r="K30" i="24"/>
  <c r="K32" i="24" s="1"/>
  <c r="L28" i="24"/>
  <c r="L29" i="24" s="1"/>
  <c r="L30" i="24" s="1"/>
  <c r="L32" i="24" s="1"/>
  <c r="I29" i="23" l="1"/>
  <c r="I31" i="23" s="1"/>
  <c r="I25" i="23"/>
  <c r="I27" i="23" s="1"/>
  <c r="J23" i="23"/>
  <c r="J14" i="23"/>
  <c r="K7" i="23"/>
  <c r="K14" i="23" l="1"/>
  <c r="M14" i="23" s="1"/>
  <c r="M7" i="23"/>
  <c r="J25" i="23"/>
  <c r="J27" i="23" s="1"/>
  <c r="J29" i="23"/>
  <c r="J31" i="23" s="1"/>
  <c r="K23" i="23"/>
  <c r="M23" i="23" s="1"/>
  <c r="K25" i="23" l="1"/>
  <c r="K29" i="23"/>
  <c r="K31" i="23" s="1"/>
  <c r="K27" i="23" l="1"/>
  <c r="M25" i="23"/>
</calcChain>
</file>

<file path=xl/sharedStrings.xml><?xml version="1.0" encoding="utf-8"?>
<sst xmlns="http://schemas.openxmlformats.org/spreadsheetml/2006/main" count="507" uniqueCount="200">
  <si>
    <t>Sales Budget --&gt;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</si>
  <si>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</si>
  <si>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</si>
  <si>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</si>
  <si>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</si>
  <si>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</si>
  <si>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</si>
  <si>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</si>
  <si>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</si>
  <si>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Distributor A</t>
  </si>
  <si>
    <t>Distributor B</t>
  </si>
  <si>
    <t>Distributor C</t>
  </si>
  <si>
    <t xml:space="preserve"> Growth %</t>
  </si>
  <si>
    <t>Total Industry</t>
  </si>
  <si>
    <t>Henry's Hats Market Share</t>
  </si>
  <si>
    <t>White Hats</t>
  </si>
  <si>
    <t>Red Hats</t>
  </si>
  <si>
    <t>Price White Hats</t>
  </si>
  <si>
    <t>Price Red Hats</t>
  </si>
  <si>
    <t>Revenue White Hats</t>
  </si>
  <si>
    <t>Revenue Red Hats</t>
  </si>
  <si>
    <t>Total Revenue</t>
  </si>
  <si>
    <t>Production Budget --&gt;</t>
  </si>
  <si>
    <t>Target Warehouse Level:</t>
  </si>
  <si>
    <t>Beginning Inventory:</t>
  </si>
  <si>
    <t>Ending Inventory:</t>
  </si>
  <si>
    <t>Direct Materials</t>
  </si>
  <si>
    <t>Fabric Purchases</t>
  </si>
  <si>
    <t>Direct Labour</t>
  </si>
  <si>
    <t>White Hats (000s)</t>
  </si>
  <si>
    <t>Red Hats (000s)</t>
  </si>
  <si>
    <t>Indirect Personnel (number of people)</t>
  </si>
  <si>
    <t>Indirect Personnel Average Salary (000s)</t>
  </si>
  <si>
    <t>Number of Hats to be Produced</t>
  </si>
  <si>
    <t>Average Utility Expense per Hat</t>
  </si>
  <si>
    <t>Utility Expense:</t>
  </si>
  <si>
    <t>Rent Expense:</t>
  </si>
  <si>
    <t>Depreciation:</t>
  </si>
  <si>
    <t>Cost of Goods Sold</t>
  </si>
  <si>
    <t>Indirect Labour</t>
  </si>
  <si>
    <t>Utility Expense (production)</t>
  </si>
  <si>
    <t>SG&amp;A Budget --&gt;</t>
  </si>
  <si>
    <t>Last Year Actuals</t>
  </si>
  <si>
    <t>Revenue</t>
  </si>
  <si>
    <t>Last Year Actual SG&amp;A</t>
  </si>
  <si>
    <t>Driver</t>
  </si>
  <si>
    <t>Transportation</t>
  </si>
  <si>
    <t>External Services</t>
  </si>
  <si>
    <t>Office Rent</t>
  </si>
  <si>
    <t>Working Capital</t>
  </si>
  <si>
    <t>Accounts Receivable</t>
  </si>
  <si>
    <t>Inventory</t>
  </si>
  <si>
    <t>Balance Sheet Budgeting --&gt;</t>
  </si>
  <si>
    <t>Fixed Assets</t>
  </si>
  <si>
    <t>as a % of Revenue</t>
  </si>
  <si>
    <t>as a % of Beginning Value</t>
  </si>
  <si>
    <t>Property, Plant &amp; Equipment</t>
  </si>
  <si>
    <t>D&amp;A</t>
  </si>
  <si>
    <t>Income Statement</t>
  </si>
  <si>
    <t>Gross Profit</t>
  </si>
  <si>
    <t>SG&amp;A Expenses</t>
  </si>
  <si>
    <t>EBITDA</t>
  </si>
  <si>
    <t>EBIT</t>
  </si>
  <si>
    <t>Taxes</t>
  </si>
  <si>
    <t>Net Income</t>
  </si>
  <si>
    <t>Financial Statements --&gt;</t>
  </si>
  <si>
    <t>Balance Sheet</t>
  </si>
  <si>
    <t>Cash</t>
  </si>
  <si>
    <t>Total Assets</t>
  </si>
  <si>
    <t>Tax Liabilities</t>
  </si>
  <si>
    <t>Equity</t>
  </si>
  <si>
    <t>Changes in Accounts Receivable</t>
  </si>
  <si>
    <t>Changes in Inventory</t>
  </si>
  <si>
    <t>Net Cash Flow</t>
  </si>
  <si>
    <t>Cash and cash equivalents at the beginning of the period</t>
  </si>
  <si>
    <t>Cash and cash equivalents at the end of the period</t>
  </si>
  <si>
    <t>Net increase/decrease in cash</t>
  </si>
  <si>
    <t>Check!</t>
  </si>
  <si>
    <t>Total Liabilities &amp; Equity</t>
  </si>
  <si>
    <t>Change in equity</t>
  </si>
  <si>
    <t>Change in PPE</t>
  </si>
  <si>
    <t>Cash change in PPE</t>
  </si>
  <si>
    <t>Net cash generated from operating activities</t>
  </si>
  <si>
    <t>Net cash used in investing activities</t>
  </si>
  <si>
    <t>Net cash used in financing activities</t>
  </si>
  <si>
    <t>Taxes paid</t>
  </si>
  <si>
    <t>Sales Volume</t>
  </si>
  <si>
    <t>Product Mix:</t>
  </si>
  <si>
    <t>Budgeted Volume</t>
  </si>
  <si>
    <t>Production Volume:</t>
  </si>
  <si>
    <t>Direct Material</t>
  </si>
  <si>
    <t>Production Volume</t>
  </si>
  <si>
    <t>Bottom-Up Volume Budget</t>
  </si>
  <si>
    <t>Revenue Budget</t>
  </si>
  <si>
    <t>Last Year Actuals (Volume/Cost)</t>
  </si>
  <si>
    <t>Budgeted Direct Materials (Volume/Cost)</t>
  </si>
  <si>
    <t>Budgeted Direct Labor (Volume/Cost)</t>
  </si>
  <si>
    <t>Overheads</t>
  </si>
  <si>
    <t>Budget</t>
  </si>
  <si>
    <t>Budgeted SG&amp;A</t>
  </si>
  <si>
    <t>Loan repayment</t>
  </si>
  <si>
    <t>Loan obligation</t>
  </si>
  <si>
    <t>Opening Balance</t>
  </si>
  <si>
    <t>Interest expense</t>
  </si>
  <si>
    <t>Repayment</t>
  </si>
  <si>
    <t>Closing Balance</t>
  </si>
  <si>
    <t>EBT</t>
  </si>
  <si>
    <t>Add: D&amp;A</t>
  </si>
  <si>
    <t>Add: Interest expense</t>
  </si>
  <si>
    <t>Add: Tax expense</t>
  </si>
  <si>
    <t>Depreciation and amortization (D&amp;A)</t>
  </si>
  <si>
    <t>Loan amount (in '000)</t>
  </si>
  <si>
    <t>Interest rate</t>
  </si>
  <si>
    <t>Loan Repayment Schedule</t>
  </si>
  <si>
    <t>as a % of EBT</t>
  </si>
  <si>
    <t>Cash Flow Statement</t>
  </si>
  <si>
    <t>Current assets</t>
  </si>
  <si>
    <t>Non-current assets</t>
  </si>
  <si>
    <t>Current liabilities</t>
  </si>
  <si>
    <t>Non-current liabilities</t>
  </si>
  <si>
    <t>Last Year Actuals (Y1)</t>
  </si>
  <si>
    <t>Administrative Department</t>
  </si>
  <si>
    <t>Total Headcount (No of people)</t>
  </si>
  <si>
    <t>Total Payroll expense (in '000)</t>
  </si>
  <si>
    <t>Average Salary (in USD)</t>
  </si>
  <si>
    <t>Payroll (administrative personnel)</t>
  </si>
  <si>
    <t>based on headcount</t>
  </si>
  <si>
    <t>in '000 USD</t>
  </si>
  <si>
    <t>fixed % of Revenue</t>
  </si>
  <si>
    <t>% of Revenue</t>
  </si>
  <si>
    <t>Sales Commissions</t>
  </si>
  <si>
    <t>The Master Budget</t>
  </si>
  <si>
    <t>Last Year Actual Revenue</t>
  </si>
  <si>
    <t>Top-Down Revenue Budget</t>
  </si>
  <si>
    <t>Bottom-Up Approach</t>
  </si>
  <si>
    <t>Bottom-Up Revenue Budget</t>
  </si>
  <si>
    <t>Top-Down Approach</t>
  </si>
  <si>
    <t>Average Revenue Growth</t>
  </si>
  <si>
    <t>Triangulation of results</t>
  </si>
  <si>
    <t>Bottom-up approach</t>
  </si>
  <si>
    <t>Top-down approach</t>
  </si>
  <si>
    <t>Number of units, in '000</t>
  </si>
  <si>
    <t>Price of 1 m² fabric:</t>
  </si>
  <si>
    <t>Fabric Usage per Hat (m²):</t>
  </si>
  <si>
    <t>Total Production Volume</t>
  </si>
  <si>
    <t>Administrative Department ('000, per quarter)</t>
  </si>
  <si>
    <t>Last Year Actual Expenses</t>
  </si>
  <si>
    <t>Budgeted Expenses</t>
  </si>
  <si>
    <t>Rent Expense (factory)</t>
  </si>
  <si>
    <t>&gt;&gt; show it as a separate line item in the Income Statement</t>
  </si>
  <si>
    <t>Indirect Costs</t>
  </si>
  <si>
    <t>Direct Costs</t>
  </si>
  <si>
    <t>Last Year Actual Cost</t>
  </si>
  <si>
    <t>Budgeted Cost</t>
  </si>
  <si>
    <t>&gt;&gt; included in COGS (Direct Labor)</t>
  </si>
  <si>
    <t>&gt;&gt; included in COGS (Indirect Labor - Overheads)</t>
  </si>
  <si>
    <t>&gt;&gt; included in SG&amp;A</t>
  </si>
  <si>
    <t>Production Department - Direct Labor</t>
  </si>
  <si>
    <t>Production Department - Indirect Labor</t>
  </si>
  <si>
    <t>Production Department - Direct Labor (USD, per hour)</t>
  </si>
  <si>
    <t>Production Department - Indirect Labor ('000, per quarter)</t>
  </si>
  <si>
    <t>Payroll Budget</t>
  </si>
  <si>
    <t>Accounts Payable</t>
  </si>
  <si>
    <t>Days of Sales Outstanding (DSO)</t>
  </si>
  <si>
    <t>Days of Payables Outstanding (DPO)</t>
  </si>
  <si>
    <t>Days of Inventory Outstanding (DIO)</t>
  </si>
  <si>
    <t>Payroll Expense</t>
  </si>
  <si>
    <t>Cash Conversion Cycle</t>
  </si>
  <si>
    <t>Payroll expense (in '000)</t>
  </si>
  <si>
    <t>PP&amp;E Purchases (CAPEX)</t>
  </si>
  <si>
    <t>PP&amp;E (Opening Balance)</t>
  </si>
  <si>
    <t>Property, Plant &amp; Equipment (Closing Balance)</t>
  </si>
  <si>
    <t>Budgeted Liability (Y2)</t>
  </si>
  <si>
    <t>Long-term Liability as at Y3 &amp; Y4</t>
  </si>
  <si>
    <t>&gt;&gt; should be zero</t>
  </si>
  <si>
    <t>Quarterly payments (in '000)</t>
  </si>
  <si>
    <t>Changes in Accounts Payables</t>
  </si>
  <si>
    <t>PP&amp;E Purchases</t>
  </si>
  <si>
    <t>&gt;&gt; goes in the Balance Sheet</t>
  </si>
  <si>
    <t>Cost of Goods Sold (COGS)</t>
  </si>
  <si>
    <t>P&amp;L Budgeting --&gt;</t>
  </si>
  <si>
    <t>&gt;&gt; Volume planning</t>
  </si>
  <si>
    <t>&gt;&gt; Mix planning</t>
  </si>
  <si>
    <t>&gt;&gt; Pricing</t>
  </si>
  <si>
    <t>&gt;&gt; additional 10% price increase</t>
  </si>
  <si>
    <t>Sales Department Projection:</t>
  </si>
  <si>
    <t>&gt;&gt; plus 70k hats to be sold &gt;&gt;</t>
  </si>
  <si>
    <t>&gt;&gt; Average Revenue Growth</t>
  </si>
  <si>
    <t>Total Cost (Direct Materials)</t>
  </si>
  <si>
    <t>Total Cost (Direct Labor)</t>
  </si>
  <si>
    <t>Indirect Labor Expense:</t>
  </si>
  <si>
    <t>Hours of Direct Labor Needed:</t>
  </si>
  <si>
    <t>Hours of Direct Labor Needed ('000):</t>
  </si>
  <si>
    <t>Number of Direct Labor Hours per Hat:</t>
  </si>
  <si>
    <t>Direct Labor</t>
  </si>
  <si>
    <t>Average Cost of Direct Labor:</t>
  </si>
  <si>
    <t>Direct Labor Expense:</t>
  </si>
  <si>
    <t>fixed cost</t>
  </si>
  <si>
    <t>SG&amp;A Expense</t>
  </si>
  <si>
    <t>Maturity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</si>
</sst>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л_в_._-;\-* #,##0.00\ _л_в_._-;_-* &quot;-&quot;??\ _л_в_._-;_-@_-"/>
    <numFmt numFmtId="165" formatCode="0.0%"/>
    <numFmt numFmtId="166" formatCode="#,##0_ ;\-#,##0\ "/>
    <numFmt numFmtId="167" formatCode="_-* #,##0\ _л_в_._-;\-* #,##0\ _л_в_._-;_-* &quot;-&quot;??\ _л_в_._-;_-@_-"/>
    <numFmt numFmtId="168" formatCode="0.000%"/>
    <numFmt numFmtId="169" formatCode="0_);\(0\)"/>
    <numFmt numFmtId="170" formatCode="#,##0.0_);\(#,##0.0\)"/>
    <numFmt numFmtId="171" formatCode="#,##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9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charset val="204"/>
      <scheme val="minor"/>
    </font>
    <font>
      <b/>
      <sz val="9"/>
      <color rgb="FF002060"/>
      <name val="Arial"/>
      <family val="2"/>
    </font>
    <font>
      <b/>
      <i/>
      <sz val="8"/>
      <color theme="1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i/>
      <sz val="9"/>
      <color rgb="FF002060"/>
      <name val="Arial"/>
      <family val="2"/>
    </font>
    <font>
      <b/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2060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0" fontId="7" fillId="2" borderId="0" xfId="0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0" fontId="7" fillId="2" borderId="0" xfId="0" applyFont="1" applyFill="1" applyBorder="1"/>
    <xf numFmtId="165" fontId="7" fillId="2" borderId="0" xfId="0" applyNumberFormat="1" applyFont="1" applyFill="1" applyBorder="1"/>
    <xf numFmtId="1" fontId="2" fillId="2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9" fillId="2" borderId="0" xfId="0" applyFont="1" applyFill="1"/>
    <xf numFmtId="0" fontId="9" fillId="4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" fontId="5" fillId="4" borderId="0" xfId="0" applyNumberFormat="1" applyFont="1" applyFill="1"/>
    <xf numFmtId="166" fontId="2" fillId="2" borderId="0" xfId="0" applyNumberFormat="1" applyFont="1" applyFill="1"/>
    <xf numFmtId="1" fontId="5" fillId="2" borderId="0" xfId="0" applyNumberFormat="1" applyFont="1" applyFill="1"/>
    <xf numFmtId="0" fontId="5" fillId="4" borderId="0" xfId="0" applyFont="1" applyFill="1"/>
    <xf numFmtId="0" fontId="2" fillId="2" borderId="0" xfId="0" applyFont="1" applyFill="1" applyAlignment="1">
      <alignment horizontal="left"/>
    </xf>
    <xf numFmtId="0" fontId="10" fillId="2" borderId="0" xfId="0" applyFont="1" applyFill="1"/>
    <xf numFmtId="9" fontId="10" fillId="2" borderId="0" xfId="2" applyFont="1" applyFill="1"/>
    <xf numFmtId="9" fontId="10" fillId="2" borderId="0" xfId="2" applyNumberFormat="1" applyFont="1" applyFill="1"/>
    <xf numFmtId="1" fontId="7" fillId="2" borderId="2" xfId="0" applyNumberFormat="1" applyFont="1" applyFill="1" applyBorder="1"/>
    <xf numFmtId="0" fontId="7" fillId="2" borderId="0" xfId="0" applyFont="1" applyFill="1" applyBorder="1" applyAlignment="1">
      <alignment horizontal="left"/>
    </xf>
    <xf numFmtId="0" fontId="12" fillId="2" borderId="0" xfId="0" applyFont="1" applyFill="1"/>
    <xf numFmtId="9" fontId="12" fillId="2" borderId="0" xfId="0" applyNumberFormat="1" applyFont="1" applyFill="1"/>
    <xf numFmtId="3" fontId="7" fillId="2" borderId="3" xfId="0" applyNumberFormat="1" applyFont="1" applyFill="1" applyBorder="1"/>
    <xf numFmtId="3" fontId="12" fillId="2" borderId="0" xfId="0" applyNumberFormat="1" applyFont="1" applyFill="1"/>
    <xf numFmtId="0" fontId="14" fillId="0" borderId="0" xfId="0" applyFont="1"/>
    <xf numFmtId="167" fontId="2" fillId="2" borderId="0" xfId="1" applyNumberFormat="1" applyFont="1" applyFill="1"/>
    <xf numFmtId="0" fontId="15" fillId="0" borderId="0" xfId="0" applyFont="1"/>
    <xf numFmtId="0" fontId="10" fillId="0" borderId="0" xfId="0" applyFont="1" applyFill="1"/>
    <xf numFmtId="3" fontId="2" fillId="0" borderId="0" xfId="0" applyNumberFormat="1" applyFont="1" applyFill="1"/>
    <xf numFmtId="0" fontId="12" fillId="0" borderId="0" xfId="0" applyFont="1" applyFill="1"/>
    <xf numFmtId="0" fontId="2" fillId="0" borderId="0" xfId="0" applyFont="1" applyFill="1"/>
    <xf numFmtId="3" fontId="2" fillId="2" borderId="0" xfId="1" applyNumberFormat="1" applyFont="1" applyFill="1"/>
    <xf numFmtId="0" fontId="16" fillId="2" borderId="0" xfId="0" applyFont="1" applyFill="1"/>
    <xf numFmtId="167" fontId="2" fillId="4" borderId="0" xfId="1" applyNumberFormat="1" applyFont="1" applyFill="1"/>
    <xf numFmtId="3" fontId="5" fillId="4" borderId="0" xfId="0" applyNumberFormat="1" applyFont="1" applyFill="1"/>
    <xf numFmtId="3" fontId="17" fillId="4" borderId="0" xfId="1" applyNumberFormat="1" applyFont="1" applyFill="1" applyAlignment="1">
      <alignment horizontal="right"/>
    </xf>
    <xf numFmtId="0" fontId="17" fillId="4" borderId="0" xfId="0" applyFont="1" applyFill="1"/>
    <xf numFmtId="3" fontId="2" fillId="4" borderId="0" xfId="0" applyNumberFormat="1" applyFont="1" applyFill="1"/>
    <xf numFmtId="3" fontId="17" fillId="4" borderId="0" xfId="0" applyNumberFormat="1" applyFont="1" applyFill="1"/>
    <xf numFmtId="3" fontId="2" fillId="4" borderId="0" xfId="1" applyNumberFormat="1" applyFont="1" applyFill="1"/>
    <xf numFmtId="3" fontId="0" fillId="0" borderId="0" xfId="0" applyNumberFormat="1"/>
    <xf numFmtId="3" fontId="13" fillId="2" borderId="0" xfId="0" applyNumberFormat="1" applyFont="1" applyFill="1" applyBorder="1"/>
    <xf numFmtId="3" fontId="14" fillId="0" borderId="0" xfId="0" applyNumberFormat="1" applyFont="1"/>
    <xf numFmtId="0" fontId="14" fillId="0" borderId="0" xfId="0" applyFont="1" applyBorder="1"/>
    <xf numFmtId="3" fontId="17" fillId="2" borderId="0" xfId="0" applyNumberFormat="1" applyFont="1" applyFill="1"/>
    <xf numFmtId="3" fontId="19" fillId="2" borderId="3" xfId="0" applyNumberFormat="1" applyFont="1" applyFill="1" applyBorder="1"/>
    <xf numFmtId="3" fontId="21" fillId="2" borderId="0" xfId="0" applyNumberFormat="1" applyFont="1" applyFill="1" applyBorder="1"/>
    <xf numFmtId="3" fontId="19" fillId="2" borderId="2" xfId="0" applyNumberFormat="1" applyFont="1" applyFill="1" applyBorder="1"/>
    <xf numFmtId="9" fontId="20" fillId="2" borderId="0" xfId="2" applyFont="1" applyFill="1"/>
    <xf numFmtId="3" fontId="7" fillId="2" borderId="0" xfId="0" applyNumberFormat="1" applyFont="1" applyFill="1" applyBorder="1" applyAlignment="1">
      <alignment horizontal="right"/>
    </xf>
    <xf numFmtId="169" fontId="2" fillId="2" borderId="0" xfId="1" applyNumberFormat="1" applyFont="1" applyFill="1"/>
    <xf numFmtId="0" fontId="17" fillId="2" borderId="0" xfId="0" applyFont="1" applyFill="1"/>
    <xf numFmtId="0" fontId="22" fillId="3" borderId="0" xfId="0" applyFont="1" applyFill="1" applyAlignment="1">
      <alignment horizontal="center"/>
    </xf>
    <xf numFmtId="0" fontId="19" fillId="2" borderId="1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3" fontId="19" fillId="2" borderId="0" xfId="0" applyNumberFormat="1" applyFont="1" applyFill="1"/>
    <xf numFmtId="169" fontId="17" fillId="2" borderId="0" xfId="1" applyNumberFormat="1" applyFont="1" applyFill="1"/>
    <xf numFmtId="167" fontId="17" fillId="2" borderId="0" xfId="1" applyNumberFormat="1" applyFont="1" applyFill="1"/>
    <xf numFmtId="164" fontId="17" fillId="2" borderId="0" xfId="1" applyFont="1" applyFill="1"/>
    <xf numFmtId="3" fontId="17" fillId="2" borderId="0" xfId="1" applyNumberFormat="1" applyFont="1" applyFill="1"/>
    <xf numFmtId="3" fontId="19" fillId="4" borderId="2" xfId="1" applyNumberFormat="1" applyFont="1" applyFill="1" applyBorder="1"/>
    <xf numFmtId="37" fontId="17" fillId="2" borderId="0" xfId="1" applyNumberFormat="1" applyFont="1" applyFill="1"/>
    <xf numFmtId="37" fontId="2" fillId="2" borderId="0" xfId="0" applyNumberFormat="1" applyFont="1" applyFill="1"/>
    <xf numFmtId="0" fontId="17" fillId="0" borderId="0" xfId="0" applyFont="1"/>
    <xf numFmtId="167" fontId="14" fillId="0" borderId="0" xfId="1" applyNumberFormat="1" applyFont="1" applyBorder="1"/>
    <xf numFmtId="164" fontId="14" fillId="0" borderId="0" xfId="1" applyFont="1" applyBorder="1"/>
    <xf numFmtId="0" fontId="17" fillId="0" borderId="5" xfId="0" applyFont="1" applyBorder="1"/>
    <xf numFmtId="0" fontId="14" fillId="0" borderId="4" xfId="0" applyFont="1" applyBorder="1"/>
    <xf numFmtId="0" fontId="14" fillId="0" borderId="6" xfId="0" applyFont="1" applyBorder="1"/>
    <xf numFmtId="0" fontId="17" fillId="0" borderId="7" xfId="0" applyFont="1" applyBorder="1"/>
    <xf numFmtId="168" fontId="14" fillId="0" borderId="8" xfId="0" applyNumberFormat="1" applyFont="1" applyBorder="1"/>
    <xf numFmtId="0" fontId="17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167" fontId="14" fillId="0" borderId="0" xfId="1" applyNumberFormat="1" applyFont="1" applyFill="1" applyBorder="1"/>
    <xf numFmtId="0" fontId="1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170" fontId="14" fillId="0" borderId="0" xfId="1" applyNumberFormat="1" applyFont="1"/>
    <xf numFmtId="170" fontId="14" fillId="0" borderId="0" xfId="1" applyNumberFormat="1" applyFont="1" applyFill="1" applyBorder="1"/>
    <xf numFmtId="170" fontId="17" fillId="0" borderId="0" xfId="1" applyNumberFormat="1" applyFont="1"/>
    <xf numFmtId="3" fontId="14" fillId="2" borderId="0" xfId="0" applyNumberFormat="1" applyFont="1" applyFill="1"/>
    <xf numFmtId="0" fontId="14" fillId="2" borderId="0" xfId="0" applyFont="1" applyFill="1"/>
    <xf numFmtId="0" fontId="14" fillId="2" borderId="0" xfId="0" applyFont="1" applyFill="1" applyBorder="1" applyAlignment="1">
      <alignment wrapText="1"/>
    </xf>
    <xf numFmtId="0" fontId="19" fillId="2" borderId="1" xfId="0" applyFont="1" applyFill="1" applyBorder="1"/>
    <xf numFmtId="0" fontId="19" fillId="2" borderId="1" xfId="0" applyFont="1" applyFill="1" applyBorder="1" applyAlignment="1">
      <alignment horizontal="right" wrapText="1"/>
    </xf>
    <xf numFmtId="166" fontId="16" fillId="2" borderId="0" xfId="1" applyNumberFormat="1" applyFont="1" applyFill="1"/>
    <xf numFmtId="165" fontId="16" fillId="2" borderId="0" xfId="2" applyNumberFormat="1" applyFont="1" applyFill="1"/>
    <xf numFmtId="165" fontId="14" fillId="2" borderId="0" xfId="2" applyNumberFormat="1" applyFont="1" applyFill="1"/>
    <xf numFmtId="0" fontId="16" fillId="0" borderId="0" xfId="0" applyFont="1"/>
    <xf numFmtId="3" fontId="14" fillId="2" borderId="0" xfId="1" applyNumberFormat="1" applyFont="1" applyFill="1"/>
    <xf numFmtId="4" fontId="14" fillId="0" borderId="0" xfId="0" applyNumberFormat="1" applyFont="1"/>
    <xf numFmtId="166" fontId="15" fillId="2" borderId="0" xfId="1" applyNumberFormat="1" applyFont="1" applyFill="1"/>
    <xf numFmtId="0" fontId="19" fillId="0" borderId="0" xfId="0" applyFont="1" applyFill="1" applyBorder="1" applyAlignment="1">
      <alignment horizontal="right"/>
    </xf>
    <xf numFmtId="0" fontId="16" fillId="0" borderId="0" xfId="0" applyFont="1" applyFill="1" applyBorder="1"/>
    <xf numFmtId="0" fontId="14" fillId="0" borderId="0" xfId="0" applyFont="1" applyFill="1"/>
    <xf numFmtId="0" fontId="19" fillId="2" borderId="0" xfId="0" applyFont="1" applyFill="1" applyBorder="1"/>
    <xf numFmtId="0" fontId="19" fillId="2" borderId="0" xfId="0" applyFont="1" applyFill="1" applyBorder="1" applyAlignment="1">
      <alignment horizontal="right" wrapText="1"/>
    </xf>
    <xf numFmtId="3" fontId="19" fillId="2" borderId="0" xfId="1" applyNumberFormat="1" applyFont="1" applyFill="1" applyBorder="1" applyAlignment="1">
      <alignment horizontal="right"/>
    </xf>
    <xf numFmtId="3" fontId="19" fillId="2" borderId="0" xfId="0" applyNumberFormat="1" applyFont="1" applyFill="1" applyBorder="1" applyAlignment="1">
      <alignment horizontal="right"/>
    </xf>
    <xf numFmtId="3" fontId="17" fillId="0" borderId="0" xfId="0" applyNumberFormat="1" applyFont="1"/>
    <xf numFmtId="166" fontId="17" fillId="2" borderId="0" xfId="1" applyNumberFormat="1" applyFont="1" applyFill="1"/>
    <xf numFmtId="1" fontId="17" fillId="2" borderId="0" xfId="0" applyNumberFormat="1" applyFont="1" applyFill="1"/>
    <xf numFmtId="9" fontId="20" fillId="2" borderId="0" xfId="2" applyNumberFormat="1" applyFont="1" applyFill="1"/>
    <xf numFmtId="9" fontId="20" fillId="2" borderId="0" xfId="0" applyNumberFormat="1" applyFont="1" applyFill="1"/>
    <xf numFmtId="3" fontId="17" fillId="0" borderId="0" xfId="0" applyNumberFormat="1" applyFont="1" applyFill="1"/>
    <xf numFmtId="9" fontId="10" fillId="0" borderId="0" xfId="2" applyFont="1" applyFill="1"/>
    <xf numFmtId="9" fontId="20" fillId="0" borderId="0" xfId="2" applyFont="1" applyFill="1"/>
    <xf numFmtId="9" fontId="2" fillId="0" borderId="0" xfId="2" applyFont="1" applyFill="1"/>
    <xf numFmtId="0" fontId="19" fillId="2" borderId="0" xfId="0" applyFont="1" applyFill="1"/>
    <xf numFmtId="3" fontId="7" fillId="2" borderId="0" xfId="0" applyNumberFormat="1" applyFont="1" applyFill="1" applyBorder="1"/>
    <xf numFmtId="165" fontId="19" fillId="2" borderId="0" xfId="2" applyNumberFormat="1" applyFont="1" applyFill="1"/>
    <xf numFmtId="165" fontId="17" fillId="2" borderId="0" xfId="2" applyNumberFormat="1" applyFont="1" applyFill="1"/>
    <xf numFmtId="165" fontId="19" fillId="2" borderId="2" xfId="2" applyNumberFormat="1" applyFont="1" applyFill="1" applyBorder="1"/>
    <xf numFmtId="165" fontId="19" fillId="2" borderId="0" xfId="2" applyNumberFormat="1" applyFont="1" applyFill="1" applyBorder="1"/>
    <xf numFmtId="9" fontId="17" fillId="2" borderId="0" xfId="2" applyFont="1" applyFill="1"/>
    <xf numFmtId="166" fontId="19" fillId="2" borderId="2" xfId="1" applyNumberFormat="1" applyFont="1" applyFill="1" applyBorder="1"/>
    <xf numFmtId="166" fontId="19" fillId="2" borderId="0" xfId="1" applyNumberFormat="1" applyFont="1" applyFill="1" applyBorder="1"/>
    <xf numFmtId="165" fontId="17" fillId="2" borderId="0" xfId="0" applyNumberFormat="1" applyFont="1" applyFill="1"/>
    <xf numFmtId="3" fontId="17" fillId="2" borderId="4" xfId="0" applyNumberFormat="1" applyFont="1" applyFill="1" applyBorder="1"/>
    <xf numFmtId="3" fontId="19" fillId="2" borderId="0" xfId="0" applyNumberFormat="1" applyFont="1" applyFill="1" applyBorder="1"/>
    <xf numFmtId="166" fontId="17" fillId="2" borderId="0" xfId="0" applyNumberFormat="1" applyFont="1" applyFill="1"/>
    <xf numFmtId="165" fontId="5" fillId="2" borderId="0" xfId="2" applyNumberFormat="1" applyFont="1" applyFill="1"/>
    <xf numFmtId="0" fontId="0" fillId="0" borderId="0" xfId="0" applyFill="1"/>
    <xf numFmtId="3" fontId="17" fillId="4" borderId="0" xfId="1" applyNumberFormat="1" applyFont="1" applyFill="1"/>
    <xf numFmtId="171" fontId="14" fillId="0" borderId="0" xfId="0" applyNumberFormat="1" applyFont="1"/>
    <xf numFmtId="171" fontId="17" fillId="0" borderId="0" xfId="0" applyNumberFormat="1" applyFont="1"/>
    <xf numFmtId="0" fontId="2" fillId="0" borderId="0" xfId="0" applyFont="1" applyFill="1" applyBorder="1" applyAlignment="1">
      <alignment wrapText="1"/>
    </xf>
    <xf numFmtId="1" fontId="2" fillId="0" borderId="0" xfId="0" applyNumberFormat="1" applyFont="1" applyFill="1"/>
    <xf numFmtId="0" fontId="7" fillId="2" borderId="0" xfId="0" applyFont="1" applyFill="1" applyBorder="1" applyAlignment="1">
      <alignment horizontal="right" wrapText="1"/>
    </xf>
    <xf numFmtId="0" fontId="19" fillId="0" borderId="0" xfId="0" applyFont="1"/>
    <xf numFmtId="0" fontId="7" fillId="2" borderId="1" xfId="0" applyFont="1" applyFill="1" applyBorder="1" applyAlignment="1">
      <alignment horizontal="center" wrapText="1"/>
    </xf>
    <xf numFmtId="0" fontId="10" fillId="4" borderId="0" xfId="0" applyFont="1" applyFill="1"/>
    <xf numFmtId="165" fontId="7" fillId="2" borderId="3" xfId="2" applyNumberFormat="1" applyFont="1" applyFill="1" applyBorder="1"/>
    <xf numFmtId="165" fontId="13" fillId="2" borderId="0" xfId="2" applyNumberFormat="1" applyFont="1" applyFill="1" applyBorder="1"/>
    <xf numFmtId="165" fontId="2" fillId="0" borderId="0" xfId="2" applyNumberFormat="1" applyFont="1" applyFill="1"/>
    <xf numFmtId="165" fontId="10" fillId="0" borderId="0" xfId="2" applyNumberFormat="1" applyFont="1" applyFill="1"/>
    <xf numFmtId="9" fontId="19" fillId="2" borderId="2" xfId="2" applyFont="1" applyFill="1" applyBorder="1"/>
    <xf numFmtId="3" fontId="16" fillId="2" borderId="0" xfId="1" applyNumberFormat="1" applyFont="1" applyFill="1"/>
    <xf numFmtId="3" fontId="15" fillId="2" borderId="0" xfId="1" applyNumberFormat="1" applyFont="1" applyFill="1"/>
    <xf numFmtId="3" fontId="16" fillId="2" borderId="0" xfId="0" applyNumberFormat="1" applyFont="1" applyFill="1"/>
    <xf numFmtId="0" fontId="16" fillId="2" borderId="0" xfId="0" applyFont="1" applyFill="1" applyBorder="1"/>
    <xf numFmtId="3" fontId="15" fillId="2" borderId="0" xfId="0" applyNumberFormat="1" applyFont="1" applyFill="1"/>
    <xf numFmtId="3" fontId="16" fillId="2" borderId="0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0" fontId="11" fillId="2" borderId="0" xfId="0" applyFont="1" applyFill="1" applyBorder="1"/>
    <xf numFmtId="3" fontId="14" fillId="2" borderId="0" xfId="0" applyNumberFormat="1" applyFont="1" applyFill="1" applyBorder="1"/>
    <xf numFmtId="3" fontId="14" fillId="0" borderId="0" xfId="0" applyNumberFormat="1" applyFont="1" applyBorder="1"/>
    <xf numFmtId="4" fontId="14" fillId="0" borderId="0" xfId="0" applyNumberFormat="1" applyFont="1" applyBorder="1"/>
    <xf numFmtId="3" fontId="14" fillId="0" borderId="0" xfId="0" applyNumberFormat="1" applyFont="1" applyFill="1" applyBorder="1"/>
    <xf numFmtId="9" fontId="7" fillId="2" borderId="2" xfId="2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3" fontId="7" fillId="0" borderId="0" xfId="0" applyNumberFormat="1" applyFont="1" applyFill="1" applyBorder="1"/>
    <xf numFmtId="9" fontId="19" fillId="2" borderId="0" xfId="2" applyFont="1" applyFill="1"/>
    <xf numFmtId="9" fontId="23" fillId="2" borderId="0" xfId="0" applyNumberFormat="1" applyFont="1" applyFill="1"/>
    <xf numFmtId="0" fontId="19" fillId="2" borderId="2" xfId="0" applyFont="1" applyFill="1" applyBorder="1"/>
    <xf numFmtId="0" fontId="12" fillId="2" borderId="0" xfId="0" applyFont="1" applyFill="1" applyBorder="1"/>
    <xf numFmtId="165" fontId="24" fillId="2" borderId="0" xfId="2" applyNumberFormat="1" applyFont="1" applyFill="1"/>
    <xf numFmtId="171" fontId="7" fillId="2" borderId="2" xfId="0" applyNumberFormat="1" applyFont="1" applyFill="1" applyBorder="1"/>
    <xf numFmtId="170" fontId="14" fillId="0" borderId="0" xfId="1" applyNumberFormat="1" applyFont="1" applyBorder="1"/>
    <xf numFmtId="171" fontId="7" fillId="2" borderId="0" xfId="0" applyNumberFormat="1" applyFont="1" applyFill="1" applyBorder="1"/>
    <xf numFmtId="171" fontId="7" fillId="4" borderId="2" xfId="0" applyNumberFormat="1" applyFont="1" applyFill="1" applyBorder="1"/>
    <xf numFmtId="1" fontId="14" fillId="0" borderId="8" xfId="0" applyNumberFormat="1" applyFont="1" applyBorder="1"/>
    <xf numFmtId="3" fontId="2" fillId="0" borderId="0" xfId="0" applyNumberFormat="1" applyFont="1" applyFill="1" applyBorder="1"/>
    <xf numFmtId="3" fontId="12" fillId="0" borderId="0" xfId="0" applyNumberFormat="1" applyFont="1" applyFill="1" applyBorder="1"/>
    <xf numFmtId="9" fontId="7" fillId="2" borderId="2" xfId="2" applyNumberFormat="1" applyFont="1" applyFill="1" applyBorder="1"/>
    <xf numFmtId="0" fontId="25" fillId="2" borderId="0" xfId="0" applyFont="1" applyFill="1"/>
    <xf numFmtId="165" fontId="14" fillId="2" borderId="0" xfId="0" applyNumberFormat="1" applyFont="1" applyFill="1"/>
    <xf numFmtId="0" fontId="19" fillId="2" borderId="3" xfId="0" applyFont="1" applyFill="1" applyBorder="1"/>
    <xf numFmtId="165" fontId="19" fillId="2" borderId="3" xfId="0" applyNumberFormat="1" applyFont="1" applyFill="1" applyBorder="1"/>
    <xf numFmtId="166" fontId="14" fillId="2" borderId="0" xfId="1" applyNumberFormat="1" applyFont="1" applyFill="1"/>
    <xf numFmtId="0" fontId="14" fillId="2" borderId="0" xfId="0" applyFont="1" applyFill="1" applyBorder="1"/>
    <xf numFmtId="1" fontId="14" fillId="2" borderId="0" xfId="0" applyNumberFormat="1" applyFont="1" applyFill="1"/>
    <xf numFmtId="0" fontId="17" fillId="2" borderId="4" xfId="0" applyFont="1" applyFill="1" applyBorder="1"/>
    <xf numFmtId="0" fontId="17" fillId="0" borderId="0" xfId="0" applyFont="1" applyFill="1"/>
    <xf numFmtId="0" fontId="15" fillId="4" borderId="0" xfId="0" applyFont="1" applyFill="1"/>
    <xf numFmtId="0" fontId="14" fillId="4" borderId="0" xfId="0" applyFont="1" applyFill="1"/>
    <xf numFmtId="1" fontId="14" fillId="4" borderId="0" xfId="0" applyNumberFormat="1" applyFont="1" applyFill="1"/>
    <xf numFmtId="1" fontId="17" fillId="4" borderId="0" xfId="0" applyNumberFormat="1" applyFont="1" applyFill="1"/>
    <xf numFmtId="0" fontId="15" fillId="2" borderId="0" xfId="0" applyFont="1" applyFill="1"/>
    <xf numFmtId="3" fontId="14" fillId="4" borderId="0" xfId="0" applyNumberFormat="1" applyFont="1" applyFill="1"/>
    <xf numFmtId="0" fontId="3" fillId="0" borderId="0" xfId="0" applyFont="1" applyFill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Fill="1" applyBorder="1"/>
    <xf numFmtId="3" fontId="7" fillId="0" borderId="2" xfId="0" applyNumberFormat="1" applyFont="1" applyFill="1" applyBorder="1"/>
    <xf numFmtId="3" fontId="19" fillId="4" borderId="1" xfId="1" applyNumberFormat="1" applyFont="1" applyFill="1" applyBorder="1"/>
    <xf numFmtId="9" fontId="7" fillId="2" borderId="12" xfId="2" applyNumberFormat="1" applyFont="1" applyFill="1" applyBorder="1"/>
    <xf numFmtId="9" fontId="7" fillId="2" borderId="10" xfId="2" applyNumberFormat="1" applyFont="1" applyFill="1" applyBorder="1"/>
    <xf numFmtId="0" fontId="6" fillId="3" borderId="0" xfId="0" applyFont="1" applyFill="1" applyAlignment="1">
      <alignment horizontal="center"/>
    </xf>
    <xf numFmtId="165" fontId="19" fillId="2" borderId="0" xfId="2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center"/>
    </xf>
    <xf numFmtId="0" fontId="14" fillId="0" borderId="0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277813</xdr:colOff>
      <xdr:row>1</xdr:row>
      <xdr:rowOff>166688</xdr:rowOff>
    </xdr:from>
    <xdr:to>
      <xdr:col>8</xdr:col>
      <xdr:colOff>216145</xdr:colOff>
      <xdr:row>28</xdr:row>
      <xdr:rowOff>7207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C50D1489-9C7E-4DDB-B316-45BB595B2BD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7813" y="349251"/>
          <a:ext cx="4827832" cy="4769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21DF-33ED-4599-8396-AF1E330F5643}">
  <dimension ref="A1"/>
  <sheetViews>
    <sheetView showGridLines="0" tabSelected="1" zoomScale="80" zoomScaleNormal="80" workbookViewId="0">
      <selection activeCell="M5" sqref="M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30"/>
  <sheetViews>
    <sheetView zoomScaleNormal="100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B27" sqref="B27"/>
    </sheetView>
  </sheetViews>
  <sheetFormatPr defaultColWidth="9.26953125" defaultRowHeight="11.5" x14ac:dyDescent="0.25"/>
  <cols>
    <col min="1" max="1" width="2" style="110" customWidth="1"/>
    <col min="2" max="2" width="32.81640625" style="110" customWidth="1"/>
    <col min="3" max="6" width="9.26953125" style="110"/>
    <col min="7" max="7" width="11.453125" style="110" bestFit="1" customWidth="1"/>
    <col min="8" max="8" width="2.26953125" style="110" customWidth="1"/>
    <col min="9" max="12" width="9.26953125" style="110"/>
    <col min="13" max="13" width="11.453125" style="110" bestFit="1" customWidth="1"/>
    <col min="14" max="14" width="1.453125" style="110" customWidth="1"/>
    <col min="15" max="16384" width="9.26953125" style="110"/>
  </cols>
  <sheetData>
    <row r="1" spans="2:15" ht="15.5" x14ac:dyDescent="0.35">
      <c r="B1" s="196" t="s">
        <v>194</v>
      </c>
    </row>
    <row r="3" spans="2:15" x14ac:dyDescent="0.25">
      <c r="C3" s="221" t="s">
        <v>94</v>
      </c>
      <c r="D3" s="221"/>
      <c r="E3" s="221"/>
      <c r="F3" s="221"/>
      <c r="G3" s="221"/>
      <c r="H3" s="111"/>
      <c r="I3" s="221" t="s">
        <v>96</v>
      </c>
      <c r="J3" s="221"/>
      <c r="K3" s="221"/>
      <c r="L3" s="221"/>
      <c r="M3" s="221"/>
      <c r="N3" s="221"/>
      <c r="O3" s="221"/>
    </row>
    <row r="4" spans="2:15" ht="12" thickBot="1" x14ac:dyDescent="0.3">
      <c r="B4" s="112" t="s">
        <v>2</v>
      </c>
      <c r="C4" s="81" t="s">
        <v>3</v>
      </c>
      <c r="D4" s="81" t="s">
        <v>4</v>
      </c>
      <c r="E4" s="81" t="s">
        <v>5</v>
      </c>
      <c r="F4" s="81" t="s">
        <v>6</v>
      </c>
      <c r="G4" s="81" t="s">
        <v>7</v>
      </c>
      <c r="H4" s="111"/>
      <c r="I4" s="81" t="s">
        <v>3</v>
      </c>
      <c r="J4" s="81" t="s">
        <v>4</v>
      </c>
      <c r="K4" s="81" t="s">
        <v>5</v>
      </c>
      <c r="L4" s="81" t="s">
        <v>6</v>
      </c>
      <c r="M4" s="81" t="s">
        <v>7</v>
      </c>
      <c r="N4" s="82"/>
      <c r="O4" s="113" t="s">
        <v>12</v>
      </c>
    </row>
    <row r="5" spans="2:15" x14ac:dyDescent="0.25">
      <c r="B5" s="110" t="s">
        <v>86</v>
      </c>
      <c r="C5" s="200">
        <f>'Bottom-up Approach'!C16</f>
        <v>195</v>
      </c>
      <c r="D5" s="200">
        <f>'Bottom-up Approach'!D16</f>
        <v>456</v>
      </c>
      <c r="E5" s="200">
        <f>'Bottom-up Approach'!E16</f>
        <v>492</v>
      </c>
      <c r="F5" s="200">
        <f>'Bottom-up Approach'!F16</f>
        <v>233</v>
      </c>
      <c r="G5" s="200">
        <f>'Bottom-up Approach'!G16</f>
        <v>1376</v>
      </c>
      <c r="I5" s="200">
        <f>'Bottom-up Approach'!I16</f>
        <v>210.15</v>
      </c>
      <c r="J5" s="200">
        <f>'Bottom-up Approach'!J16</f>
        <v>492.63</v>
      </c>
      <c r="K5" s="200">
        <f>'Bottom-up Approach'!K16</f>
        <v>531.06000000000006</v>
      </c>
      <c r="L5" s="200">
        <f>'Bottom-up Approach'!L16</f>
        <v>251.83500000000001</v>
      </c>
      <c r="M5" s="200">
        <f>'Bottom-up Approach'!M16</f>
        <v>1485.6750000000002</v>
      </c>
      <c r="N5" s="201"/>
      <c r="O5" s="116">
        <f>M5/G5-1</f>
        <v>7.9705668604651336E-2</v>
      </c>
    </row>
    <row r="6" spans="2:15" ht="12" x14ac:dyDescent="0.3">
      <c r="B6" s="60" t="s">
        <v>87</v>
      </c>
    </row>
    <row r="7" spans="2:15" x14ac:dyDescent="0.25">
      <c r="B7" s="110" t="s">
        <v>15</v>
      </c>
      <c r="C7" s="200">
        <f>'Bottom-up Approach'!C18</f>
        <v>130</v>
      </c>
      <c r="D7" s="200">
        <f>'Bottom-up Approach'!D18</f>
        <v>304</v>
      </c>
      <c r="E7" s="200">
        <f>'Bottom-up Approach'!E18</f>
        <v>328</v>
      </c>
      <c r="F7" s="200">
        <f>'Bottom-up Approach'!F18</f>
        <v>155.33333333333331</v>
      </c>
      <c r="G7" s="200">
        <f>'Bottom-up Approach'!G18</f>
        <v>917.33333333333326</v>
      </c>
      <c r="H7" s="202"/>
      <c r="I7" s="200">
        <f>'Bottom-up Approach'!I18</f>
        <v>140.1</v>
      </c>
      <c r="J7" s="200">
        <f>'Bottom-up Approach'!J18</f>
        <v>328.41999999999996</v>
      </c>
      <c r="K7" s="200">
        <f>'Bottom-up Approach'!K18</f>
        <v>354.04</v>
      </c>
      <c r="L7" s="200">
        <f>'Bottom-up Approach'!L18</f>
        <v>167.89</v>
      </c>
      <c r="M7" s="200">
        <f>'Bottom-up Approach'!M18</f>
        <v>990.44999999999993</v>
      </c>
    </row>
    <row r="8" spans="2:15" x14ac:dyDescent="0.25">
      <c r="B8" s="110" t="s">
        <v>16</v>
      </c>
      <c r="C8" s="200">
        <f>'Bottom-up Approach'!C19</f>
        <v>65</v>
      </c>
      <c r="D8" s="200">
        <f>'Bottom-up Approach'!D19</f>
        <v>152</v>
      </c>
      <c r="E8" s="200">
        <f>'Bottom-up Approach'!E19</f>
        <v>164</v>
      </c>
      <c r="F8" s="200">
        <f>'Bottom-up Approach'!F19</f>
        <v>77.666666666666657</v>
      </c>
      <c r="G8" s="200">
        <f>'Bottom-up Approach'!G19</f>
        <v>458.66666666666663</v>
      </c>
      <c r="H8" s="202"/>
      <c r="I8" s="200">
        <f>'Bottom-up Approach'!I19</f>
        <v>70.05</v>
      </c>
      <c r="J8" s="200">
        <f>'Bottom-up Approach'!J19</f>
        <v>164.20999999999998</v>
      </c>
      <c r="K8" s="200">
        <f>'Bottom-up Approach'!K19</f>
        <v>177.02</v>
      </c>
      <c r="L8" s="200">
        <f>'Bottom-up Approach'!L19</f>
        <v>83.944999999999993</v>
      </c>
      <c r="M8" s="200">
        <f>'Bottom-up Approach'!M19</f>
        <v>495.22499999999997</v>
      </c>
    </row>
    <row r="10" spans="2:15" x14ac:dyDescent="0.25">
      <c r="B10" s="205" t="s">
        <v>89</v>
      </c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152"/>
    </row>
    <row r="11" spans="2:15" x14ac:dyDescent="0.25">
      <c r="B11" s="206" t="s">
        <v>15</v>
      </c>
      <c r="C11" s="207">
        <f>'Production Volume'!C24</f>
        <v>130.5</v>
      </c>
      <c r="D11" s="207">
        <f>'Production Volume'!D24</f>
        <v>347.5</v>
      </c>
      <c r="E11" s="207">
        <f>'Production Volume'!E24</f>
        <v>334</v>
      </c>
      <c r="F11" s="207">
        <f>'Production Volume'!F24</f>
        <v>112.16666666666663</v>
      </c>
      <c r="G11" s="208">
        <f>'Production Volume'!G24</f>
        <v>924.16666666666663</v>
      </c>
      <c r="H11" s="207"/>
      <c r="I11" s="207">
        <f>'Production Volume'!I24</f>
        <v>144.5</v>
      </c>
      <c r="J11" s="207">
        <f>'Production Volume'!J24</f>
        <v>392.74999999999994</v>
      </c>
      <c r="K11" s="207">
        <f>'Production Volume'!K24</f>
        <v>377.44999999999993</v>
      </c>
      <c r="L11" s="207">
        <f>'Production Volume'!L24</f>
        <v>126.49999999999997</v>
      </c>
      <c r="M11" s="152">
        <f>'Production Volume'!M24</f>
        <v>1041.1999999999998</v>
      </c>
      <c r="N11" s="202"/>
    </row>
    <row r="12" spans="2:15" x14ac:dyDescent="0.25">
      <c r="B12" s="206" t="s">
        <v>16</v>
      </c>
      <c r="C12" s="207">
        <f>'Production Volume'!C25</f>
        <v>68.5</v>
      </c>
      <c r="D12" s="207">
        <f>'Production Volume'!D25</f>
        <v>178.1</v>
      </c>
      <c r="E12" s="207">
        <f>'Production Volume'!E25</f>
        <v>167.6</v>
      </c>
      <c r="F12" s="207">
        <f>'Production Volume'!F25</f>
        <v>51.766666666666659</v>
      </c>
      <c r="G12" s="208">
        <f>'Production Volume'!G25</f>
        <v>465.96666666666664</v>
      </c>
      <c r="H12" s="207"/>
      <c r="I12" s="207">
        <f>'Production Volume'!I25</f>
        <v>72.033333333333331</v>
      </c>
      <c r="J12" s="207">
        <f>'Production Volume'!J25</f>
        <v>201.29666666666665</v>
      </c>
      <c r="K12" s="207">
        <f>'Production Volume'!K25</f>
        <v>189.40333333333331</v>
      </c>
      <c r="L12" s="207">
        <f>'Production Volume'!L25</f>
        <v>58.36666666666666</v>
      </c>
      <c r="M12" s="152">
        <f>'Production Volume'!M25</f>
        <v>521.09999999999991</v>
      </c>
      <c r="N12" s="202"/>
    </row>
    <row r="14" spans="2:15" x14ac:dyDescent="0.25">
      <c r="B14" s="209" t="s">
        <v>193</v>
      </c>
    </row>
    <row r="15" spans="2:15" x14ac:dyDescent="0.25">
      <c r="B15" s="110" t="s">
        <v>15</v>
      </c>
      <c r="C15" s="110">
        <v>0.25</v>
      </c>
      <c r="D15" s="110">
        <v>0.25</v>
      </c>
      <c r="E15" s="110">
        <v>0.25</v>
      </c>
      <c r="F15" s="110">
        <v>0.25</v>
      </c>
      <c r="I15" s="110">
        <v>0.25</v>
      </c>
      <c r="J15" s="110">
        <v>0.25</v>
      </c>
      <c r="K15" s="110">
        <v>0.25</v>
      </c>
      <c r="L15" s="110">
        <v>0.25</v>
      </c>
    </row>
    <row r="16" spans="2:15" x14ac:dyDescent="0.25">
      <c r="B16" s="110" t="s">
        <v>16</v>
      </c>
      <c r="C16" s="110">
        <v>0.25</v>
      </c>
      <c r="D16" s="110">
        <v>0.25</v>
      </c>
      <c r="E16" s="110">
        <v>0.25</v>
      </c>
      <c r="F16" s="110">
        <v>0.25</v>
      </c>
      <c r="I16" s="110">
        <v>0.25</v>
      </c>
      <c r="J16" s="110">
        <v>0.25</v>
      </c>
      <c r="K16" s="110">
        <v>0.25</v>
      </c>
      <c r="L16" s="110">
        <v>0.25</v>
      </c>
    </row>
    <row r="18" spans="2:15" x14ac:dyDescent="0.25">
      <c r="B18" s="209" t="s">
        <v>191</v>
      </c>
    </row>
    <row r="19" spans="2:15" x14ac:dyDescent="0.25">
      <c r="B19" s="110" t="s">
        <v>29</v>
      </c>
      <c r="C19" s="202">
        <f t="shared" ref="C19:F20" si="0">C15*C11</f>
        <v>32.625</v>
      </c>
      <c r="D19" s="202">
        <f t="shared" si="0"/>
        <v>86.875</v>
      </c>
      <c r="E19" s="202">
        <f t="shared" si="0"/>
        <v>83.5</v>
      </c>
      <c r="F19" s="202">
        <f t="shared" si="0"/>
        <v>28.041666666666657</v>
      </c>
      <c r="I19" s="202">
        <f>I11*I15</f>
        <v>36.125</v>
      </c>
      <c r="J19" s="202">
        <f t="shared" ref="J19:L19" si="1">J11*J15</f>
        <v>98.187499999999986</v>
      </c>
      <c r="K19" s="202">
        <f t="shared" si="1"/>
        <v>94.362499999999983</v>
      </c>
      <c r="L19" s="202">
        <f t="shared" si="1"/>
        <v>31.624999999999993</v>
      </c>
    </row>
    <row r="20" spans="2:15" x14ac:dyDescent="0.25">
      <c r="B20" s="110" t="s">
        <v>30</v>
      </c>
      <c r="C20" s="202">
        <f t="shared" si="0"/>
        <v>17.125</v>
      </c>
      <c r="D20" s="202">
        <f t="shared" si="0"/>
        <v>44.524999999999999</v>
      </c>
      <c r="E20" s="202">
        <f t="shared" si="0"/>
        <v>41.9</v>
      </c>
      <c r="F20" s="202">
        <f t="shared" si="0"/>
        <v>12.941666666666665</v>
      </c>
      <c r="I20" s="202">
        <f t="shared" ref="I20:L20" si="2">I12*I16</f>
        <v>18.008333333333333</v>
      </c>
      <c r="J20" s="202">
        <f t="shared" si="2"/>
        <v>50.324166666666663</v>
      </c>
      <c r="K20" s="202">
        <f t="shared" si="2"/>
        <v>47.350833333333327</v>
      </c>
      <c r="L20" s="202">
        <f t="shared" si="2"/>
        <v>14.591666666666665</v>
      </c>
    </row>
    <row r="22" spans="2:15" x14ac:dyDescent="0.25">
      <c r="B22" s="209" t="s">
        <v>195</v>
      </c>
    </row>
    <row r="23" spans="2:15" x14ac:dyDescent="0.25">
      <c r="B23" s="110" t="s">
        <v>15</v>
      </c>
      <c r="C23" s="110">
        <v>-10</v>
      </c>
      <c r="D23" s="110">
        <v>-10</v>
      </c>
      <c r="E23" s="110">
        <v>-10</v>
      </c>
      <c r="F23" s="110">
        <v>-10</v>
      </c>
      <c r="I23" s="110">
        <v>-10</v>
      </c>
      <c r="J23" s="110">
        <v>-10</v>
      </c>
      <c r="K23" s="110">
        <v>-10</v>
      </c>
      <c r="L23" s="110">
        <v>-10</v>
      </c>
    </row>
    <row r="24" spans="2:15" x14ac:dyDescent="0.25">
      <c r="B24" s="110" t="s">
        <v>16</v>
      </c>
      <c r="C24" s="110">
        <v>-10</v>
      </c>
      <c r="D24" s="110">
        <v>-10</v>
      </c>
      <c r="E24" s="110">
        <v>-10</v>
      </c>
      <c r="F24" s="110">
        <v>-10</v>
      </c>
      <c r="I24" s="110">
        <v>-10</v>
      </c>
      <c r="J24" s="110">
        <v>-10</v>
      </c>
      <c r="K24" s="110">
        <v>-10</v>
      </c>
      <c r="L24" s="110">
        <v>-10</v>
      </c>
    </row>
    <row r="26" spans="2:15" x14ac:dyDescent="0.25">
      <c r="B26" s="205" t="s">
        <v>196</v>
      </c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</row>
    <row r="27" spans="2:15" x14ac:dyDescent="0.25">
      <c r="B27" s="206" t="s">
        <v>15</v>
      </c>
      <c r="C27" s="210">
        <f>C19*C23</f>
        <v>-326.25</v>
      </c>
      <c r="D27" s="210">
        <f t="shared" ref="D27:F27" si="3">D19*D23</f>
        <v>-868.75</v>
      </c>
      <c r="E27" s="210">
        <f t="shared" si="3"/>
        <v>-835</v>
      </c>
      <c r="F27" s="210">
        <f t="shared" si="3"/>
        <v>-280.41666666666657</v>
      </c>
      <c r="G27" s="152">
        <f>SUM(C27:F27)</f>
        <v>-2310.4166666666665</v>
      </c>
      <c r="H27" s="210"/>
      <c r="I27" s="210">
        <f>I19*I23</f>
        <v>-361.25</v>
      </c>
      <c r="J27" s="210">
        <f t="shared" ref="J27:L27" si="4">J19*J23</f>
        <v>-981.87499999999989</v>
      </c>
      <c r="K27" s="210">
        <f t="shared" si="4"/>
        <v>-943.62499999999977</v>
      </c>
      <c r="L27" s="210">
        <f t="shared" si="4"/>
        <v>-316.24999999999994</v>
      </c>
      <c r="M27" s="152">
        <f>SUM(I27:L27)</f>
        <v>-2603</v>
      </c>
    </row>
    <row r="28" spans="2:15" x14ac:dyDescent="0.25">
      <c r="B28" s="206" t="s">
        <v>16</v>
      </c>
      <c r="C28" s="210">
        <f t="shared" ref="C28:F28" si="5">C20*C24</f>
        <v>-171.25</v>
      </c>
      <c r="D28" s="210">
        <f t="shared" si="5"/>
        <v>-445.25</v>
      </c>
      <c r="E28" s="210">
        <f t="shared" si="5"/>
        <v>-419</v>
      </c>
      <c r="F28" s="210">
        <f t="shared" si="5"/>
        <v>-129.41666666666666</v>
      </c>
      <c r="G28" s="152">
        <f>SUM(C28:F28)</f>
        <v>-1164.9166666666667</v>
      </c>
      <c r="H28" s="210"/>
      <c r="I28" s="210">
        <f t="shared" ref="I28:L28" si="6">I20*I24</f>
        <v>-180.08333333333331</v>
      </c>
      <c r="J28" s="210">
        <f t="shared" si="6"/>
        <v>-503.24166666666662</v>
      </c>
      <c r="K28" s="210">
        <f t="shared" si="6"/>
        <v>-473.50833333333327</v>
      </c>
      <c r="L28" s="210">
        <f t="shared" si="6"/>
        <v>-145.91666666666666</v>
      </c>
      <c r="M28" s="152">
        <f>SUM(I28:L28)</f>
        <v>-1302.75</v>
      </c>
    </row>
    <row r="29" spans="2:15" x14ac:dyDescent="0.25">
      <c r="C29" s="109"/>
      <c r="D29" s="109"/>
      <c r="E29" s="109"/>
      <c r="F29" s="109"/>
      <c r="G29" s="118"/>
      <c r="H29" s="109"/>
      <c r="I29" s="109"/>
      <c r="J29" s="109"/>
      <c r="K29" s="109"/>
      <c r="L29" s="109"/>
      <c r="M29" s="118"/>
    </row>
    <row r="30" spans="2:15" ht="12" thickBot="1" x14ac:dyDescent="0.3">
      <c r="B30" s="32" t="s">
        <v>189</v>
      </c>
      <c r="C30" s="32">
        <f>SUM(C27:C28)</f>
        <v>-497.5</v>
      </c>
      <c r="D30" s="32">
        <f t="shared" ref="D30:M30" si="7">SUM(D27:D28)</f>
        <v>-1314</v>
      </c>
      <c r="E30" s="32">
        <f t="shared" si="7"/>
        <v>-1254</v>
      </c>
      <c r="F30" s="32">
        <f t="shared" si="7"/>
        <v>-409.83333333333326</v>
      </c>
      <c r="G30" s="32">
        <f t="shared" si="7"/>
        <v>-3475.333333333333</v>
      </c>
      <c r="H30" s="182"/>
      <c r="I30" s="32">
        <f t="shared" si="7"/>
        <v>-541.33333333333326</v>
      </c>
      <c r="J30" s="32">
        <f t="shared" si="7"/>
        <v>-1485.1166666666666</v>
      </c>
      <c r="K30" s="32">
        <f t="shared" si="7"/>
        <v>-1417.133333333333</v>
      </c>
      <c r="L30" s="32">
        <f t="shared" si="7"/>
        <v>-462.16666666666663</v>
      </c>
      <c r="M30" s="32">
        <f t="shared" si="7"/>
        <v>-3905.75</v>
      </c>
      <c r="N30" s="138"/>
      <c r="O30" s="179">
        <f>M30/G30-1</f>
        <v>0.12384903126798408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21"/>
  <sheetViews>
    <sheetView showGridLines="0" zoomScaleNormal="100" workbookViewId="0">
      <selection activeCell="I21" sqref="I21"/>
    </sheetView>
  </sheetViews>
  <sheetFormatPr defaultColWidth="9.26953125" defaultRowHeight="11.5" x14ac:dyDescent="0.25"/>
  <cols>
    <col min="1" max="1" width="2" style="2" customWidth="1"/>
    <col min="2" max="2" width="35.26953125" style="2" bestFit="1" customWidth="1"/>
    <col min="3" max="3" width="9.26953125" style="2" customWidth="1"/>
    <col min="4" max="6" width="9.26953125" style="2"/>
    <col min="7" max="7" width="11.453125" style="2" bestFit="1" customWidth="1"/>
    <col min="8" max="8" width="2" style="58" customWidth="1"/>
    <col min="9" max="10" width="9.26953125" style="2"/>
    <col min="11" max="11" width="9.26953125" style="2" customWidth="1"/>
    <col min="12" max="12" width="9.26953125" style="2"/>
    <col min="13" max="13" width="11.453125" style="2" bestFit="1" customWidth="1"/>
    <col min="14" max="14" width="1.453125" style="2" customWidth="1"/>
    <col min="15" max="16384" width="9.26953125" style="2"/>
  </cols>
  <sheetData>
    <row r="1" spans="2:15" ht="15.5" x14ac:dyDescent="0.35">
      <c r="B1" s="3" t="s">
        <v>97</v>
      </c>
    </row>
    <row r="3" spans="2:15" x14ac:dyDescent="0.25">
      <c r="C3" s="219" t="s">
        <v>146</v>
      </c>
      <c r="D3" s="219"/>
      <c r="E3" s="219"/>
      <c r="F3" s="219"/>
      <c r="G3" s="219"/>
      <c r="H3" s="155"/>
      <c r="I3" s="219" t="s">
        <v>147</v>
      </c>
      <c r="J3" s="219"/>
      <c r="K3" s="219"/>
      <c r="L3" s="219"/>
      <c r="M3" s="219"/>
      <c r="N3" s="219"/>
      <c r="O3" s="219"/>
    </row>
    <row r="4" spans="2:15" ht="12" thickBot="1" x14ac:dyDescent="0.3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155"/>
      <c r="I4" s="8" t="s">
        <v>3</v>
      </c>
      <c r="J4" s="8" t="s">
        <v>4</v>
      </c>
      <c r="K4" s="8" t="s">
        <v>5</v>
      </c>
      <c r="L4" s="8" t="s">
        <v>6</v>
      </c>
      <c r="M4" s="8" t="s">
        <v>7</v>
      </c>
      <c r="N4" s="19"/>
      <c r="O4" s="17" t="s">
        <v>12</v>
      </c>
    </row>
    <row r="5" spans="2:15" x14ac:dyDescent="0.25">
      <c r="B5" s="35" t="s">
        <v>89</v>
      </c>
      <c r="C5" s="36"/>
      <c r="D5" s="36"/>
      <c r="E5" s="36"/>
      <c r="F5" s="36"/>
      <c r="G5" s="36"/>
      <c r="I5" s="36"/>
      <c r="J5" s="36"/>
      <c r="K5" s="36"/>
      <c r="L5" s="36"/>
      <c r="M5" s="36"/>
      <c r="N5" s="58"/>
      <c r="O5" s="58"/>
    </row>
    <row r="6" spans="2:15" x14ac:dyDescent="0.25">
      <c r="B6" s="36" t="s">
        <v>15</v>
      </c>
      <c r="C6" s="37">
        <f>'Production Volume'!C24</f>
        <v>130.5</v>
      </c>
      <c r="D6" s="37">
        <f>'Production Volume'!D24</f>
        <v>347.5</v>
      </c>
      <c r="E6" s="37">
        <f>'Production Volume'!E24</f>
        <v>334</v>
      </c>
      <c r="F6" s="37">
        <f>'Production Volume'!F24</f>
        <v>112.16666666666663</v>
      </c>
      <c r="G6" s="38">
        <f>'Production Volume'!G24</f>
        <v>924.16666666666663</v>
      </c>
      <c r="H6" s="156"/>
      <c r="I6" s="37">
        <f>'Production Volume'!I24</f>
        <v>144.5</v>
      </c>
      <c r="J6" s="37">
        <f>'Production Volume'!J24</f>
        <v>392.74999999999994</v>
      </c>
      <c r="K6" s="37">
        <f>'Production Volume'!K24</f>
        <v>377.44999999999993</v>
      </c>
      <c r="L6" s="37">
        <f>'Production Volume'!L24</f>
        <v>126.49999999999997</v>
      </c>
      <c r="M6" s="62">
        <f>'Production Volume'!M24</f>
        <v>1041.1999999999998</v>
      </c>
      <c r="N6" s="156"/>
      <c r="O6" s="58"/>
    </row>
    <row r="7" spans="2:15" x14ac:dyDescent="0.25">
      <c r="B7" s="36" t="s">
        <v>16</v>
      </c>
      <c r="C7" s="37">
        <f>'Production Volume'!C25</f>
        <v>68.5</v>
      </c>
      <c r="D7" s="37">
        <f>'Production Volume'!D25</f>
        <v>178.1</v>
      </c>
      <c r="E7" s="37">
        <f>'Production Volume'!E25</f>
        <v>167.6</v>
      </c>
      <c r="F7" s="37">
        <f>'Production Volume'!F25</f>
        <v>51.766666666666659</v>
      </c>
      <c r="G7" s="38">
        <f>'Production Volume'!G25</f>
        <v>465.96666666666664</v>
      </c>
      <c r="H7" s="156"/>
      <c r="I7" s="37">
        <f>'Production Volume'!I25</f>
        <v>72.033333333333331</v>
      </c>
      <c r="J7" s="37">
        <f>'Production Volume'!J25</f>
        <v>201.29666666666665</v>
      </c>
      <c r="K7" s="37">
        <f>'Production Volume'!K25</f>
        <v>189.40333333333331</v>
      </c>
      <c r="L7" s="37">
        <f>'Production Volume'!L25</f>
        <v>58.36666666666666</v>
      </c>
      <c r="M7" s="62">
        <f>'Production Volume'!M25</f>
        <v>521.09999999999991</v>
      </c>
      <c r="N7" s="156"/>
      <c r="O7" s="58"/>
    </row>
    <row r="8" spans="2:15" x14ac:dyDescent="0.25">
      <c r="N8" s="58"/>
      <c r="O8" s="58"/>
    </row>
    <row r="9" spans="2:15" x14ac:dyDescent="0.25">
      <c r="B9" s="2" t="s">
        <v>31</v>
      </c>
      <c r="C9" s="2">
        <v>6</v>
      </c>
      <c r="D9" s="2">
        <v>6</v>
      </c>
      <c r="E9" s="2">
        <v>6</v>
      </c>
      <c r="F9" s="2">
        <v>6</v>
      </c>
      <c r="I9" s="2">
        <v>8</v>
      </c>
      <c r="J9" s="2">
        <v>8</v>
      </c>
      <c r="K9" s="2">
        <v>8</v>
      </c>
      <c r="L9" s="2">
        <v>8</v>
      </c>
      <c r="N9" s="58"/>
      <c r="O9" s="58"/>
    </row>
    <row r="10" spans="2:15" x14ac:dyDescent="0.25">
      <c r="B10" s="2" t="s">
        <v>32</v>
      </c>
      <c r="C10" s="2">
        <v>-20</v>
      </c>
      <c r="D10" s="2">
        <v>-20</v>
      </c>
      <c r="E10" s="2">
        <v>-20</v>
      </c>
      <c r="F10" s="2">
        <v>-20</v>
      </c>
      <c r="I10" s="2">
        <v>-20</v>
      </c>
      <c r="J10" s="2">
        <v>-20</v>
      </c>
      <c r="K10" s="2">
        <v>-20</v>
      </c>
      <c r="L10" s="2">
        <v>-20</v>
      </c>
    </row>
    <row r="12" spans="2:15" x14ac:dyDescent="0.25">
      <c r="B12" s="35" t="s">
        <v>190</v>
      </c>
      <c r="C12" s="36">
        <f>C9*C10</f>
        <v>-120</v>
      </c>
      <c r="D12" s="36">
        <f t="shared" ref="D12:F12" si="0">D9*D10</f>
        <v>-120</v>
      </c>
      <c r="E12" s="36">
        <f t="shared" si="0"/>
        <v>-120</v>
      </c>
      <c r="F12" s="36">
        <f t="shared" si="0"/>
        <v>-120</v>
      </c>
      <c r="G12" s="41">
        <f>SUM(C12:F12)</f>
        <v>-480</v>
      </c>
      <c r="I12" s="36">
        <f>I9*I10</f>
        <v>-160</v>
      </c>
      <c r="J12" s="36">
        <f t="shared" ref="J12:L12" si="1">J9*J10</f>
        <v>-160</v>
      </c>
      <c r="K12" s="36">
        <f t="shared" si="1"/>
        <v>-160</v>
      </c>
      <c r="L12" s="36">
        <f t="shared" si="1"/>
        <v>-160</v>
      </c>
      <c r="M12" s="41">
        <f>SUM(I12:L12)</f>
        <v>-640</v>
      </c>
    </row>
    <row r="14" spans="2:15" x14ac:dyDescent="0.25">
      <c r="B14" s="2" t="s">
        <v>33</v>
      </c>
      <c r="C14" s="26">
        <f>C6+C7</f>
        <v>199</v>
      </c>
      <c r="D14" s="26">
        <f>D6+D7</f>
        <v>525.6</v>
      </c>
      <c r="E14" s="26">
        <f>E6+E7</f>
        <v>501.6</v>
      </c>
      <c r="F14" s="26">
        <f>F6+F7</f>
        <v>163.93333333333328</v>
      </c>
      <c r="I14" s="26">
        <f t="shared" ref="I14:L14" si="2">I6+I7</f>
        <v>216.53333333333333</v>
      </c>
      <c r="J14" s="26">
        <f t="shared" si="2"/>
        <v>594.04666666666662</v>
      </c>
      <c r="K14" s="26">
        <f t="shared" si="2"/>
        <v>566.85333333333324</v>
      </c>
      <c r="L14" s="26">
        <f t="shared" si="2"/>
        <v>184.86666666666662</v>
      </c>
    </row>
    <row r="15" spans="2:15" x14ac:dyDescent="0.25">
      <c r="B15" s="2" t="s">
        <v>34</v>
      </c>
      <c r="C15" s="2">
        <v>-0.1</v>
      </c>
      <c r="D15" s="2">
        <v>-0.1</v>
      </c>
      <c r="E15" s="2">
        <v>-0.1</v>
      </c>
      <c r="F15" s="2">
        <v>-0.1</v>
      </c>
      <c r="I15" s="2">
        <v>-0.1</v>
      </c>
      <c r="J15" s="2">
        <v>-0.1</v>
      </c>
      <c r="K15" s="2">
        <v>-0.1</v>
      </c>
      <c r="L15" s="2">
        <v>-0.1</v>
      </c>
    </row>
    <row r="17" spans="2:16" x14ac:dyDescent="0.25">
      <c r="B17" s="35" t="s">
        <v>35</v>
      </c>
      <c r="C17" s="37">
        <f>C14*C15</f>
        <v>-19.900000000000002</v>
      </c>
      <c r="D17" s="37">
        <f t="shared" ref="D17:F17" si="3">D14*D15</f>
        <v>-52.56</v>
      </c>
      <c r="E17" s="37">
        <f t="shared" si="3"/>
        <v>-50.160000000000004</v>
      </c>
      <c r="F17" s="37">
        <f t="shared" si="3"/>
        <v>-16.393333333333327</v>
      </c>
      <c r="G17" s="38">
        <f>SUM(C17:F17)</f>
        <v>-139.01333333333332</v>
      </c>
      <c r="H17" s="156"/>
      <c r="I17" s="37">
        <f t="shared" ref="I17:L17" si="4">I14*I15</f>
        <v>-21.653333333333336</v>
      </c>
      <c r="J17" s="37">
        <f t="shared" si="4"/>
        <v>-59.404666666666664</v>
      </c>
      <c r="K17" s="37">
        <f t="shared" si="4"/>
        <v>-56.685333333333325</v>
      </c>
      <c r="L17" s="37">
        <f t="shared" si="4"/>
        <v>-18.486666666666661</v>
      </c>
      <c r="M17" s="38">
        <f>SUM(I17:L17)</f>
        <v>-156.22999999999996</v>
      </c>
    </row>
    <row r="19" spans="2:16" x14ac:dyDescent="0.25">
      <c r="B19" s="35" t="s">
        <v>36</v>
      </c>
      <c r="C19" s="36">
        <v>-400</v>
      </c>
      <c r="D19" s="36">
        <v>-400</v>
      </c>
      <c r="E19" s="36">
        <v>-400</v>
      </c>
      <c r="F19" s="36">
        <v>-400</v>
      </c>
      <c r="G19" s="62">
        <f>SUM(C19:F19)</f>
        <v>-1600</v>
      </c>
      <c r="I19" s="36">
        <f>C19</f>
        <v>-400</v>
      </c>
      <c r="J19" s="36">
        <f t="shared" ref="J19:L19" si="5">D19</f>
        <v>-400</v>
      </c>
      <c r="K19" s="36">
        <f t="shared" si="5"/>
        <v>-400</v>
      </c>
      <c r="L19" s="36">
        <f t="shared" si="5"/>
        <v>-400</v>
      </c>
      <c r="M19" s="62">
        <f>SUM(I19:L19)</f>
        <v>-1600</v>
      </c>
    </row>
    <row r="21" spans="2:16" x14ac:dyDescent="0.25">
      <c r="B21" s="35" t="s">
        <v>37</v>
      </c>
      <c r="C21" s="37">
        <f>'Fixed Assets'!C13</f>
        <v>-50</v>
      </c>
      <c r="D21" s="37">
        <f>'Fixed Assets'!D13</f>
        <v>-52.375</v>
      </c>
      <c r="E21" s="37">
        <f>'Fixed Assets'!E13</f>
        <v>-61.15625</v>
      </c>
      <c r="F21" s="37">
        <f>'Fixed Assets'!F13</f>
        <v>-70.3984375</v>
      </c>
      <c r="G21" s="62">
        <f>SUM(C21:F21)</f>
        <v>-233.9296875</v>
      </c>
      <c r="I21" s="37">
        <f>'Fixed Assets'!I13</f>
        <v>-72.703515625000009</v>
      </c>
      <c r="J21" s="37">
        <f>'Fixed Assets'!J13</f>
        <v>-74.93500651041667</v>
      </c>
      <c r="K21" s="37">
        <f>'Fixed Assets'!K13</f>
        <v>-84.929589518229164</v>
      </c>
      <c r="L21" s="37">
        <f>'Fixed Assets'!L13</f>
        <v>-95.509776708984361</v>
      </c>
      <c r="M21" s="62">
        <f>SUM(I21:L21)</f>
        <v>-328.07788836263023</v>
      </c>
      <c r="P21" s="137" t="s">
        <v>149</v>
      </c>
    </row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17"/>
  <sheetViews>
    <sheetView zoomScale="90" zoomScaleNormal="90" workbookViewId="0">
      <selection activeCell="B1" sqref="B1"/>
    </sheetView>
  </sheetViews>
  <sheetFormatPr defaultColWidth="9.26953125" defaultRowHeight="11.5" x14ac:dyDescent="0.25"/>
  <cols>
    <col min="1" max="1" width="2" style="2" customWidth="1"/>
    <col min="2" max="2" width="23" style="2" bestFit="1" customWidth="1"/>
    <col min="3" max="6" width="9.26953125" style="2"/>
    <col min="7" max="7" width="9.26953125" style="79"/>
    <col min="8" max="8" width="1.54296875" style="2" customWidth="1"/>
    <col min="9" max="12" width="9.26953125" style="2"/>
    <col min="13" max="13" width="9.26953125" style="79"/>
    <col min="14" max="14" width="2.26953125" style="2" customWidth="1"/>
    <col min="15" max="16384" width="9.26953125" style="2"/>
  </cols>
  <sheetData>
    <row r="1" spans="2:15" ht="15.5" x14ac:dyDescent="0.35">
      <c r="B1" s="3" t="s">
        <v>179</v>
      </c>
    </row>
    <row r="4" spans="2:15" x14ac:dyDescent="0.25">
      <c r="C4" s="219" t="s">
        <v>152</v>
      </c>
      <c r="D4" s="219"/>
      <c r="E4" s="219"/>
      <c r="F4" s="219"/>
      <c r="G4" s="219"/>
      <c r="H4" s="6"/>
      <c r="I4" s="219" t="s">
        <v>153</v>
      </c>
      <c r="J4" s="219"/>
      <c r="K4" s="219"/>
      <c r="L4" s="219"/>
      <c r="M4" s="219"/>
      <c r="N4" s="219"/>
      <c r="O4" s="219"/>
    </row>
    <row r="5" spans="2:15" ht="12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1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81" t="s">
        <v>7</v>
      </c>
      <c r="N5" s="19"/>
      <c r="O5" s="17" t="s">
        <v>12</v>
      </c>
    </row>
    <row r="6" spans="2:15" x14ac:dyDescent="0.25">
      <c r="B6" s="24" t="s">
        <v>151</v>
      </c>
      <c r="C6" s="19"/>
      <c r="D6" s="19"/>
      <c r="E6" s="19"/>
      <c r="F6" s="19"/>
      <c r="G6" s="82"/>
      <c r="H6" s="6"/>
      <c r="I6" s="19"/>
      <c r="J6" s="19"/>
      <c r="K6" s="19"/>
      <c r="L6" s="19"/>
      <c r="M6" s="82"/>
      <c r="N6" s="19"/>
      <c r="O6" s="157"/>
    </row>
    <row r="7" spans="2:15" x14ac:dyDescent="0.25">
      <c r="B7" s="2" t="s">
        <v>90</v>
      </c>
      <c r="C7" s="28">
        <f>'Direct Materials'!C18+'Direct Materials'!C19</f>
        <v>-259.35000000000002</v>
      </c>
      <c r="D7" s="28">
        <f>'Direct Materials'!D18+'Direct Materials'!D19</f>
        <v>-684.15</v>
      </c>
      <c r="E7" s="28">
        <f>'Direct Materials'!E18+'Direct Materials'!E19</f>
        <v>-652.20000000000005</v>
      </c>
      <c r="F7" s="28">
        <f>'Direct Materials'!F18+'Direct Materials'!F19</f>
        <v>-212.24999999999994</v>
      </c>
      <c r="G7" s="72">
        <f>'Direct Materials'!G18+'Direct Materials'!G19</f>
        <v>-1807.9499999999998</v>
      </c>
      <c r="H7" s="28"/>
      <c r="I7" s="28">
        <f>'Direct Materials'!I18+'Direct Materials'!I19</f>
        <v>-281.45</v>
      </c>
      <c r="J7" s="28">
        <f>'Direct Materials'!J18+'Direct Materials'!J19</f>
        <v>-773.24499999999989</v>
      </c>
      <c r="K7" s="28">
        <f>'Direct Materials'!K18+'Direct Materials'!K19</f>
        <v>-737.04499999999985</v>
      </c>
      <c r="L7" s="28">
        <f>'Direct Materials'!L18+'Direct Materials'!L19</f>
        <v>-239.34999999999994</v>
      </c>
      <c r="M7" s="72">
        <f>'Direct Materials'!M18+'Direct Materials'!M19</f>
        <v>-2031.0899999999997</v>
      </c>
      <c r="N7" s="18"/>
      <c r="O7" s="9">
        <f t="shared" ref="O7:O8" si="0">M7/G7-1</f>
        <v>0.1234215547996349</v>
      </c>
    </row>
    <row r="8" spans="2:15" x14ac:dyDescent="0.25">
      <c r="B8" s="2" t="s">
        <v>28</v>
      </c>
      <c r="C8" s="28">
        <f>'Direct Labor'!C27+'Direct Labor'!C28</f>
        <v>-497.5</v>
      </c>
      <c r="D8" s="28">
        <f>'Direct Labor'!D27+'Direct Labor'!D28</f>
        <v>-1314</v>
      </c>
      <c r="E8" s="28">
        <f>'Direct Labor'!E27+'Direct Labor'!E28</f>
        <v>-1254</v>
      </c>
      <c r="F8" s="28">
        <f>'Direct Labor'!F27+'Direct Labor'!F28</f>
        <v>-409.83333333333326</v>
      </c>
      <c r="G8" s="72">
        <f>'Direct Labor'!G27+'Direct Labor'!G28</f>
        <v>-3475.333333333333</v>
      </c>
      <c r="H8" s="28"/>
      <c r="I8" s="28">
        <f>'Direct Labor'!I27+'Direct Labor'!I28</f>
        <v>-541.33333333333326</v>
      </c>
      <c r="J8" s="28">
        <f>'Direct Labor'!J27+'Direct Labor'!J28</f>
        <v>-1485.1166666666666</v>
      </c>
      <c r="K8" s="28">
        <f>'Direct Labor'!K27+'Direct Labor'!K28</f>
        <v>-1417.133333333333</v>
      </c>
      <c r="L8" s="28">
        <f>'Direct Labor'!L27+'Direct Labor'!L28</f>
        <v>-462.16666666666663</v>
      </c>
      <c r="M8" s="72">
        <f>'Direct Labor'!M27+'Direct Labor'!M28</f>
        <v>-3905.75</v>
      </c>
      <c r="O8" s="9">
        <f t="shared" si="0"/>
        <v>0.12384903126798408</v>
      </c>
    </row>
    <row r="9" spans="2:15" x14ac:dyDescent="0.25">
      <c r="C9" s="28"/>
      <c r="D9" s="28"/>
      <c r="E9" s="28"/>
      <c r="F9" s="28"/>
      <c r="G9" s="72"/>
      <c r="H9" s="28"/>
      <c r="I9" s="28"/>
      <c r="J9" s="28"/>
      <c r="K9" s="28"/>
      <c r="L9" s="28"/>
      <c r="M9" s="72"/>
      <c r="O9" s="9"/>
    </row>
    <row r="10" spans="2:15" x14ac:dyDescent="0.25">
      <c r="B10" s="137" t="s">
        <v>150</v>
      </c>
      <c r="C10" s="28"/>
      <c r="D10" s="28"/>
      <c r="E10" s="28"/>
      <c r="F10" s="28"/>
      <c r="G10" s="72"/>
      <c r="H10" s="28"/>
      <c r="I10" s="28"/>
      <c r="J10" s="28"/>
      <c r="K10" s="28"/>
      <c r="L10" s="28"/>
      <c r="M10" s="72"/>
      <c r="O10" s="9"/>
    </row>
    <row r="11" spans="2:15" x14ac:dyDescent="0.25">
      <c r="B11" s="2" t="s">
        <v>39</v>
      </c>
      <c r="C11" s="28">
        <f>Overheads!C12</f>
        <v>-120</v>
      </c>
      <c r="D11" s="28">
        <f>Overheads!D12</f>
        <v>-120</v>
      </c>
      <c r="E11" s="28">
        <f>Overheads!E12</f>
        <v>-120</v>
      </c>
      <c r="F11" s="28">
        <f>Overheads!F12</f>
        <v>-120</v>
      </c>
      <c r="G11" s="72">
        <f>Overheads!G12</f>
        <v>-480</v>
      </c>
      <c r="H11" s="28"/>
      <c r="I11" s="28">
        <f>Overheads!I12</f>
        <v>-160</v>
      </c>
      <c r="J11" s="28">
        <f>Overheads!J12</f>
        <v>-160</v>
      </c>
      <c r="K11" s="28">
        <f>Overheads!K12</f>
        <v>-160</v>
      </c>
      <c r="L11" s="28">
        <f>Overheads!L12</f>
        <v>-160</v>
      </c>
      <c r="M11" s="72">
        <f>Overheads!M12</f>
        <v>-640</v>
      </c>
      <c r="O11" s="9">
        <f t="shared" ref="O11:O13" si="1">M11/G11-1</f>
        <v>0.33333333333333326</v>
      </c>
    </row>
    <row r="12" spans="2:15" x14ac:dyDescent="0.25">
      <c r="B12" s="2" t="s">
        <v>40</v>
      </c>
      <c r="C12" s="28">
        <f>Overheads!C17</f>
        <v>-19.900000000000002</v>
      </c>
      <c r="D12" s="28">
        <f>Overheads!D17</f>
        <v>-52.56</v>
      </c>
      <c r="E12" s="28">
        <f>Overheads!E17</f>
        <v>-50.160000000000004</v>
      </c>
      <c r="F12" s="28">
        <f>Overheads!F17</f>
        <v>-16.393333333333327</v>
      </c>
      <c r="G12" s="72">
        <f>Overheads!G17</f>
        <v>-139.01333333333332</v>
      </c>
      <c r="H12" s="28"/>
      <c r="I12" s="28">
        <f>Overheads!I17</f>
        <v>-21.653333333333336</v>
      </c>
      <c r="J12" s="28">
        <f>Overheads!J17</f>
        <v>-59.404666666666664</v>
      </c>
      <c r="K12" s="28">
        <f>Overheads!K17</f>
        <v>-56.685333333333325</v>
      </c>
      <c r="L12" s="28">
        <f>Overheads!L17</f>
        <v>-18.486666666666661</v>
      </c>
      <c r="M12" s="72">
        <f>Overheads!M17</f>
        <v>-156.22999999999996</v>
      </c>
      <c r="N12" s="18"/>
      <c r="O12" s="9">
        <f t="shared" si="1"/>
        <v>0.12384903126798363</v>
      </c>
    </row>
    <row r="13" spans="2:15" x14ac:dyDescent="0.25">
      <c r="B13" s="2" t="s">
        <v>148</v>
      </c>
      <c r="C13" s="28">
        <f>Overheads!C19</f>
        <v>-400</v>
      </c>
      <c r="D13" s="28">
        <f>Overheads!D19</f>
        <v>-400</v>
      </c>
      <c r="E13" s="28">
        <f>Overheads!E19</f>
        <v>-400</v>
      </c>
      <c r="F13" s="28">
        <f>Overheads!F19</f>
        <v>-400</v>
      </c>
      <c r="G13" s="72">
        <f>Overheads!G19</f>
        <v>-1600</v>
      </c>
      <c r="H13" s="172"/>
      <c r="I13" s="28">
        <f>Overheads!I19</f>
        <v>-400</v>
      </c>
      <c r="J13" s="28">
        <f>Overheads!J19</f>
        <v>-400</v>
      </c>
      <c r="K13" s="28">
        <f>Overheads!K19</f>
        <v>-400</v>
      </c>
      <c r="L13" s="28">
        <f>Overheads!L19</f>
        <v>-400</v>
      </c>
      <c r="M13" s="72">
        <f>Overheads!M19</f>
        <v>-1600</v>
      </c>
      <c r="N13" s="18"/>
      <c r="O13" s="9">
        <f t="shared" si="1"/>
        <v>0</v>
      </c>
    </row>
    <row r="14" spans="2:15" ht="12" thickBot="1" x14ac:dyDescent="0.3">
      <c r="B14" s="14" t="s">
        <v>38</v>
      </c>
      <c r="C14" s="32">
        <f>SUM(C7:C13)</f>
        <v>-1296.75</v>
      </c>
      <c r="D14" s="32">
        <f>SUM(D7:D13)</f>
        <v>-2570.71</v>
      </c>
      <c r="E14" s="32">
        <f>SUM(E7:E13)</f>
        <v>-2476.36</v>
      </c>
      <c r="F14" s="32">
        <f>SUM(F7:F13)</f>
        <v>-1158.4766666666665</v>
      </c>
      <c r="G14" s="75">
        <f>SUM(G7:G13)</f>
        <v>-7502.2966666666662</v>
      </c>
      <c r="H14" s="172"/>
      <c r="I14" s="32">
        <f>SUM(I7:I13)</f>
        <v>-1404.4366666666665</v>
      </c>
      <c r="J14" s="32">
        <f t="shared" ref="J14:M14" si="2">SUM(J7:J13)</f>
        <v>-2877.7663333333335</v>
      </c>
      <c r="K14" s="32">
        <f t="shared" si="2"/>
        <v>-2770.8636666666662</v>
      </c>
      <c r="L14" s="32">
        <f t="shared" si="2"/>
        <v>-1280.0033333333331</v>
      </c>
      <c r="M14" s="75">
        <f t="shared" si="2"/>
        <v>-8333.07</v>
      </c>
      <c r="N14" s="18"/>
      <c r="O14" s="16">
        <f>M14/G14-1</f>
        <v>0.11073586799420099</v>
      </c>
    </row>
    <row r="15" spans="2:15" x14ac:dyDescent="0.25">
      <c r="H15" s="18"/>
      <c r="N15" s="18"/>
    </row>
    <row r="16" spans="2:15" x14ac:dyDescent="0.25">
      <c r="H16" s="18"/>
      <c r="N16" s="18"/>
    </row>
    <row r="17" spans="14:14" x14ac:dyDescent="0.25">
      <c r="N17" s="18"/>
    </row>
  </sheetData>
  <mergeCells count="2">
    <mergeCell ref="C4:G4"/>
    <mergeCell ref="I4:O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B1:B11"/>
  <sheetViews>
    <sheetView zoomScale="90" zoomScaleNormal="90" workbookViewId="0">
      <selection activeCell="P17" sqref="P17"/>
    </sheetView>
  </sheetViews>
  <sheetFormatPr defaultColWidth="9.26953125" defaultRowHeight="11.5" x14ac:dyDescent="0.25"/>
  <cols>
    <col min="1" max="1" width="2" style="2" customWidth="1"/>
    <col min="2" max="16384" width="9.26953125" style="2"/>
  </cols>
  <sheetData>
    <row r="1" spans="2:2" ht="15.5" x14ac:dyDescent="0.35">
      <c r="B1" s="3"/>
    </row>
    <row r="11" spans="2:2" ht="37.5" x14ac:dyDescent="0.75">
      <c r="B11" s="4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0143-DF42-448A-AED2-C12D84339527}">
  <dimension ref="B1:Q24"/>
  <sheetViews>
    <sheetView showGridLines="0" zoomScaleNormal="100" workbookViewId="0">
      <selection activeCell="C28" sqref="C28"/>
    </sheetView>
  </sheetViews>
  <sheetFormatPr defaultColWidth="8.7265625" defaultRowHeight="11.5" x14ac:dyDescent="0.25"/>
  <cols>
    <col min="1" max="1" width="4" style="52" customWidth="1"/>
    <col min="2" max="2" width="44.26953125" style="52" customWidth="1"/>
    <col min="3" max="7" width="6.54296875" style="52" customWidth="1"/>
    <col min="8" max="8" width="2.453125" style="71" customWidth="1"/>
    <col min="9" max="13" width="6.54296875" style="52" customWidth="1"/>
    <col min="14" max="14" width="2.453125" style="123" customWidth="1"/>
    <col min="15" max="15" width="9.453125" style="52" customWidth="1"/>
    <col min="16" max="16" width="2.54296875" style="52" customWidth="1"/>
    <col min="17" max="16384" width="8.7265625" style="52"/>
  </cols>
  <sheetData>
    <row r="1" spans="2:15" ht="15.5" x14ac:dyDescent="0.35">
      <c r="B1" s="3" t="s">
        <v>166</v>
      </c>
    </row>
    <row r="2" spans="2:15" ht="3.75" customHeight="1" x14ac:dyDescent="0.25"/>
    <row r="3" spans="2:15" x14ac:dyDescent="0.25">
      <c r="B3" s="110"/>
      <c r="C3" s="221" t="s">
        <v>42</v>
      </c>
      <c r="D3" s="221"/>
      <c r="E3" s="221"/>
      <c r="F3" s="221"/>
      <c r="G3" s="221"/>
      <c r="H3" s="111"/>
      <c r="I3" s="221" t="s">
        <v>161</v>
      </c>
      <c r="J3" s="221"/>
      <c r="K3" s="221"/>
      <c r="L3" s="221"/>
      <c r="M3" s="221"/>
      <c r="N3" s="221"/>
      <c r="O3" s="221"/>
    </row>
    <row r="4" spans="2:15" ht="12" thickBot="1" x14ac:dyDescent="0.3">
      <c r="B4" s="112"/>
      <c r="C4" s="81" t="s">
        <v>3</v>
      </c>
      <c r="D4" s="81" t="s">
        <v>4</v>
      </c>
      <c r="E4" s="81" t="s">
        <v>5</v>
      </c>
      <c r="F4" s="81" t="s">
        <v>6</v>
      </c>
      <c r="G4" s="81" t="s">
        <v>7</v>
      </c>
      <c r="H4" s="111"/>
      <c r="I4" s="81" t="s">
        <v>3</v>
      </c>
      <c r="J4" s="81" t="s">
        <v>4</v>
      </c>
      <c r="K4" s="81" t="s">
        <v>5</v>
      </c>
      <c r="L4" s="81" t="s">
        <v>6</v>
      </c>
      <c r="M4" s="81" t="s">
        <v>7</v>
      </c>
      <c r="N4" s="111"/>
      <c r="O4" s="113" t="s">
        <v>12</v>
      </c>
    </row>
    <row r="5" spans="2:15" hidden="1" x14ac:dyDescent="0.25">
      <c r="B5" s="34" t="s">
        <v>192</v>
      </c>
      <c r="C5" s="126">
        <f>SUM('Direct Labor'!C19:C20)</f>
        <v>49.75</v>
      </c>
      <c r="D5" s="126">
        <f>SUM('Direct Labor'!D19:D20)</f>
        <v>131.4</v>
      </c>
      <c r="E5" s="126">
        <f>SUM('Direct Labor'!E19:E20)</f>
        <v>125.4</v>
      </c>
      <c r="F5" s="126">
        <f>SUM('Direct Labor'!F19:F20)</f>
        <v>40.98333333333332</v>
      </c>
      <c r="G5" s="127"/>
      <c r="H5" s="111"/>
      <c r="I5" s="126">
        <f>SUM('Direct Labor'!I19:I20)</f>
        <v>54.133333333333333</v>
      </c>
      <c r="J5" s="126">
        <f>SUM('Direct Labor'!J19:J20)</f>
        <v>148.51166666666666</v>
      </c>
      <c r="K5" s="126">
        <f>SUM('Direct Labor'!K19:K20)</f>
        <v>141.71333333333331</v>
      </c>
      <c r="L5" s="126">
        <f>SUM('Direct Labor'!L19:L20)</f>
        <v>46.216666666666654</v>
      </c>
      <c r="M5" s="82"/>
      <c r="N5" s="121"/>
      <c r="O5" s="125"/>
    </row>
    <row r="6" spans="2:15" hidden="1" x14ac:dyDescent="0.25">
      <c r="B6" s="124"/>
      <c r="C6" s="82"/>
      <c r="D6" s="82"/>
      <c r="E6" s="82"/>
      <c r="F6" s="82"/>
      <c r="G6" s="82"/>
      <c r="H6" s="111"/>
      <c r="I6" s="82"/>
      <c r="J6" s="82"/>
      <c r="K6" s="82"/>
      <c r="L6" s="82"/>
      <c r="M6" s="82"/>
      <c r="N6" s="121"/>
      <c r="O6" s="125"/>
    </row>
    <row r="7" spans="2:15" s="117" customFormat="1" ht="12" hidden="1" x14ac:dyDescent="0.3">
      <c r="B7" s="137" t="s">
        <v>122</v>
      </c>
      <c r="C7" s="114">
        <f>SUM(C8:C10)</f>
        <v>155.64583333333334</v>
      </c>
      <c r="D7" s="114">
        <f>SUM(D8:D10)</f>
        <v>327.75</v>
      </c>
      <c r="E7" s="114">
        <f>SUM(E8:E10)</f>
        <v>315.25000000000006</v>
      </c>
      <c r="F7" s="114">
        <f>SUM(F8:F10)</f>
        <v>138.3819444444444</v>
      </c>
      <c r="G7" s="120">
        <f>SUM(G8:G10)</f>
        <v>234.25694444444449</v>
      </c>
      <c r="H7" s="169"/>
      <c r="I7" s="114">
        <f>SUM(I8:I10)</f>
        <v>167.77777777777777</v>
      </c>
      <c r="J7" s="114">
        <f>SUM(J8:J10)</f>
        <v>364.39930555555554</v>
      </c>
      <c r="K7" s="114">
        <f>SUM(K8:K10)</f>
        <v>350.23611111111109</v>
      </c>
      <c r="L7" s="114">
        <f>SUM(L8:L10)</f>
        <v>151.2847222222222</v>
      </c>
      <c r="M7" s="120">
        <f>SUM(M8:M10)</f>
        <v>258.42447916666663</v>
      </c>
      <c r="N7" s="122"/>
      <c r="O7" s="115">
        <f>M7/G7-1</f>
        <v>0.10316678030415294</v>
      </c>
    </row>
    <row r="8" spans="2:15" hidden="1" x14ac:dyDescent="0.25">
      <c r="B8" s="110" t="s">
        <v>157</v>
      </c>
      <c r="C8" s="118">
        <f>C5/480*1000</f>
        <v>103.64583333333334</v>
      </c>
      <c r="D8" s="118">
        <f t="shared" ref="D8:F8" si="0">D5/480*1000</f>
        <v>273.75</v>
      </c>
      <c r="E8" s="118">
        <f t="shared" si="0"/>
        <v>261.25000000000006</v>
      </c>
      <c r="F8" s="118">
        <f t="shared" si="0"/>
        <v>85.381944444444414</v>
      </c>
      <c r="G8" s="87">
        <f>AVERAGE(C8:F8)</f>
        <v>181.00694444444449</v>
      </c>
      <c r="H8" s="175"/>
      <c r="I8" s="118">
        <f>I5/480*1000</f>
        <v>112.77777777777779</v>
      </c>
      <c r="J8" s="118">
        <f t="shared" ref="J8:L8" si="1">J5/480*1000</f>
        <v>309.39930555555554</v>
      </c>
      <c r="K8" s="118">
        <f t="shared" si="1"/>
        <v>295.23611111111109</v>
      </c>
      <c r="L8" s="118">
        <f t="shared" si="1"/>
        <v>96.2847222222222</v>
      </c>
      <c r="M8" s="87">
        <f>AVERAGE(I8:L8)</f>
        <v>203.42447916666663</v>
      </c>
      <c r="N8" s="103"/>
      <c r="O8" s="116"/>
    </row>
    <row r="9" spans="2:15" hidden="1" x14ac:dyDescent="0.25">
      <c r="B9" s="110" t="s">
        <v>158</v>
      </c>
      <c r="C9" s="118">
        <f>Overheads!C9</f>
        <v>6</v>
      </c>
      <c r="D9" s="118">
        <f>Overheads!D9</f>
        <v>6</v>
      </c>
      <c r="E9" s="118">
        <f>Overheads!E9</f>
        <v>6</v>
      </c>
      <c r="F9" s="118">
        <f>Overheads!F9</f>
        <v>6</v>
      </c>
      <c r="G9" s="87">
        <f>AVERAGE(C9:F9)</f>
        <v>6</v>
      </c>
      <c r="H9" s="175"/>
      <c r="I9" s="118">
        <f>Overheads!I9</f>
        <v>8</v>
      </c>
      <c r="J9" s="118">
        <f>Overheads!J9</f>
        <v>8</v>
      </c>
      <c r="K9" s="118">
        <f>Overheads!K9</f>
        <v>8</v>
      </c>
      <c r="L9" s="118">
        <f>Overheads!L9</f>
        <v>8</v>
      </c>
      <c r="M9" s="87">
        <f>AVERAGE(I9:L9)</f>
        <v>8</v>
      </c>
      <c r="N9" s="103"/>
      <c r="O9" s="116"/>
    </row>
    <row r="10" spans="2:15" hidden="1" x14ac:dyDescent="0.25">
      <c r="B10" s="52" t="s">
        <v>121</v>
      </c>
      <c r="C10" s="70">
        <v>46</v>
      </c>
      <c r="D10" s="70">
        <v>48</v>
      </c>
      <c r="E10" s="70">
        <v>48</v>
      </c>
      <c r="F10" s="70">
        <v>47</v>
      </c>
      <c r="G10" s="87">
        <f>AVERAGE(C10:F10)</f>
        <v>47.25</v>
      </c>
      <c r="H10" s="176"/>
      <c r="I10" s="70">
        <f>F10</f>
        <v>47</v>
      </c>
      <c r="J10" s="70">
        <f>I10</f>
        <v>47</v>
      </c>
      <c r="K10" s="70">
        <f t="shared" ref="K10:L10" si="2">J10</f>
        <v>47</v>
      </c>
      <c r="L10" s="70">
        <f t="shared" si="2"/>
        <v>47</v>
      </c>
      <c r="M10" s="87">
        <f>AVERAGE(I10:L10)</f>
        <v>47</v>
      </c>
      <c r="N10" s="103"/>
      <c r="O10" s="116"/>
    </row>
    <row r="11" spans="2:15" hidden="1" x14ac:dyDescent="0.25">
      <c r="C11" s="70"/>
      <c r="D11" s="70"/>
      <c r="E11" s="70"/>
      <c r="F11" s="70"/>
      <c r="G11" s="70"/>
      <c r="H11" s="176"/>
      <c r="I11" s="70"/>
      <c r="J11" s="70"/>
      <c r="K11" s="70"/>
      <c r="L11" s="70"/>
      <c r="M11" s="70"/>
      <c r="N11" s="103"/>
    </row>
    <row r="12" spans="2:15" x14ac:dyDescent="0.25">
      <c r="B12" s="137" t="s">
        <v>124</v>
      </c>
      <c r="C12" s="119"/>
      <c r="D12" s="119"/>
      <c r="E12" s="119"/>
      <c r="F12" s="119"/>
      <c r="G12" s="119"/>
      <c r="H12" s="177"/>
      <c r="I12" s="119"/>
      <c r="J12" s="119"/>
      <c r="K12" s="119"/>
      <c r="L12" s="119"/>
      <c r="M12" s="119"/>
      <c r="N12" s="103"/>
    </row>
    <row r="13" spans="2:15" x14ac:dyDescent="0.25">
      <c r="B13" s="110" t="s">
        <v>159</v>
      </c>
      <c r="C13" s="70">
        <f>-'Direct Labor'!C23</f>
        <v>10</v>
      </c>
      <c r="D13" s="70">
        <f>-'Direct Labor'!D23</f>
        <v>10</v>
      </c>
      <c r="E13" s="70">
        <f>-'Direct Labor'!E23</f>
        <v>10</v>
      </c>
      <c r="F13" s="70">
        <f>-'Direct Labor'!F23</f>
        <v>10</v>
      </c>
      <c r="G13" s="128">
        <f t="shared" ref="G13:G15" si="3">AVERAGE(C13:F13)</f>
        <v>10</v>
      </c>
      <c r="H13" s="176"/>
      <c r="I13" s="70">
        <f>-'Direct Labor'!I23</f>
        <v>10</v>
      </c>
      <c r="J13" s="70">
        <f>-'Direct Labor'!J23</f>
        <v>10</v>
      </c>
      <c r="K13" s="70">
        <f>-'Direct Labor'!K23</f>
        <v>10</v>
      </c>
      <c r="L13" s="70">
        <f>-'Direct Labor'!L23</f>
        <v>10</v>
      </c>
      <c r="M13" s="128">
        <f t="shared" ref="M13:M15" si="4">AVERAGE(I13:L13)</f>
        <v>10</v>
      </c>
      <c r="N13" s="103"/>
      <c r="O13" s="116">
        <f>M13/G13-1</f>
        <v>0</v>
      </c>
    </row>
    <row r="14" spans="2:15" x14ac:dyDescent="0.25">
      <c r="B14" s="110" t="s">
        <v>160</v>
      </c>
      <c r="C14" s="70">
        <f>-Overheads!C10</f>
        <v>20</v>
      </c>
      <c r="D14" s="70">
        <f>-Overheads!D10</f>
        <v>20</v>
      </c>
      <c r="E14" s="70">
        <f>-Overheads!E10</f>
        <v>20</v>
      </c>
      <c r="F14" s="70">
        <f>-Overheads!F10</f>
        <v>20</v>
      </c>
      <c r="G14" s="128">
        <f t="shared" si="3"/>
        <v>20</v>
      </c>
      <c r="H14" s="176"/>
      <c r="I14" s="70">
        <f>-Overheads!I10</f>
        <v>20</v>
      </c>
      <c r="J14" s="70">
        <f>-Overheads!J10</f>
        <v>20</v>
      </c>
      <c r="K14" s="70">
        <f>-Overheads!K10</f>
        <v>20</v>
      </c>
      <c r="L14" s="70">
        <f>-Overheads!L10</f>
        <v>20</v>
      </c>
      <c r="M14" s="128">
        <f t="shared" si="4"/>
        <v>20</v>
      </c>
      <c r="N14" s="103"/>
      <c r="O14" s="116">
        <f>M14/G14-1</f>
        <v>0</v>
      </c>
    </row>
    <row r="15" spans="2:15" x14ac:dyDescent="0.25">
      <c r="B15" s="52" t="s">
        <v>145</v>
      </c>
      <c r="C15" s="70">
        <v>6</v>
      </c>
      <c r="D15" s="70">
        <v>6</v>
      </c>
      <c r="E15" s="70">
        <v>6</v>
      </c>
      <c r="F15" s="70">
        <v>6</v>
      </c>
      <c r="G15" s="128">
        <f t="shared" si="3"/>
        <v>6</v>
      </c>
      <c r="H15" s="176"/>
      <c r="I15" s="153">
        <f>C15*105%</f>
        <v>6.3000000000000007</v>
      </c>
      <c r="J15" s="153">
        <f t="shared" ref="J15:L15" si="5">I15</f>
        <v>6.3000000000000007</v>
      </c>
      <c r="K15" s="153">
        <f t="shared" si="5"/>
        <v>6.3000000000000007</v>
      </c>
      <c r="L15" s="153">
        <f t="shared" si="5"/>
        <v>6.3000000000000007</v>
      </c>
      <c r="M15" s="154">
        <f t="shared" si="4"/>
        <v>6.3000000000000007</v>
      </c>
      <c r="N15" s="103"/>
      <c r="O15" s="116">
        <f>M15/G15-1</f>
        <v>5.0000000000000044E-2</v>
      </c>
    </row>
    <row r="16" spans="2:15" x14ac:dyDescent="0.25">
      <c r="C16" s="119"/>
      <c r="D16" s="119"/>
      <c r="E16" s="119"/>
      <c r="F16" s="119"/>
      <c r="G16" s="119"/>
      <c r="H16" s="177"/>
      <c r="I16" s="119"/>
      <c r="J16" s="119"/>
      <c r="K16" s="119"/>
      <c r="L16" s="119"/>
      <c r="M16" s="119"/>
      <c r="N16" s="103"/>
    </row>
    <row r="17" spans="2:17" x14ac:dyDescent="0.25">
      <c r="B17" s="158" t="s">
        <v>168</v>
      </c>
      <c r="C17" s="119"/>
      <c r="D17" s="119"/>
      <c r="E17" s="119"/>
      <c r="F17" s="119"/>
      <c r="G17" s="119"/>
      <c r="H17" s="177"/>
      <c r="I17" s="119"/>
      <c r="J17" s="119"/>
      <c r="K17" s="119"/>
      <c r="L17" s="119"/>
      <c r="M17" s="119"/>
      <c r="N17" s="103"/>
    </row>
    <row r="18" spans="2:17" x14ac:dyDescent="0.25">
      <c r="B18" s="110" t="s">
        <v>157</v>
      </c>
      <c r="C18" s="70">
        <f>-C5*C13</f>
        <v>-497.5</v>
      </c>
      <c r="D18" s="70">
        <f t="shared" ref="D18:F18" si="6">-D5*D13</f>
        <v>-1314</v>
      </c>
      <c r="E18" s="70">
        <f t="shared" si="6"/>
        <v>-1254</v>
      </c>
      <c r="F18" s="70">
        <f t="shared" si="6"/>
        <v>-409.8333333333332</v>
      </c>
      <c r="G18" s="128">
        <f>SUM(C18:F18)</f>
        <v>-3475.333333333333</v>
      </c>
      <c r="H18" s="176"/>
      <c r="I18" s="70">
        <f>-I5*I13</f>
        <v>-541.33333333333337</v>
      </c>
      <c r="J18" s="70">
        <f t="shared" ref="J18:L18" si="7">-J5*J13</f>
        <v>-1485.1166666666666</v>
      </c>
      <c r="K18" s="70">
        <f t="shared" si="7"/>
        <v>-1417.1333333333332</v>
      </c>
      <c r="L18" s="70">
        <f t="shared" si="7"/>
        <v>-462.16666666666652</v>
      </c>
      <c r="M18" s="128">
        <f t="shared" ref="M18:M20" si="8">SUM(I18:L18)</f>
        <v>-3905.7499999999995</v>
      </c>
      <c r="N18" s="178"/>
      <c r="O18" s="116">
        <f t="shared" ref="O18:O21" si="9">M18/G18-1</f>
        <v>0.12384903126798386</v>
      </c>
      <c r="Q18" s="158" t="s">
        <v>154</v>
      </c>
    </row>
    <row r="19" spans="2:17" x14ac:dyDescent="0.25">
      <c r="B19" s="110" t="s">
        <v>158</v>
      </c>
      <c r="C19" s="70">
        <f>-C9*C14</f>
        <v>-120</v>
      </c>
      <c r="D19" s="70">
        <f t="shared" ref="D19:F19" si="10">-D9*D14</f>
        <v>-120</v>
      </c>
      <c r="E19" s="70">
        <f t="shared" si="10"/>
        <v>-120</v>
      </c>
      <c r="F19" s="70">
        <f t="shared" si="10"/>
        <v>-120</v>
      </c>
      <c r="G19" s="128">
        <f>SUM(C19:F19)</f>
        <v>-480</v>
      </c>
      <c r="H19" s="176"/>
      <c r="I19" s="70">
        <f>-I9*I14</f>
        <v>-160</v>
      </c>
      <c r="J19" s="70">
        <f t="shared" ref="J19:L19" si="11">-J9*J14</f>
        <v>-160</v>
      </c>
      <c r="K19" s="70">
        <f t="shared" si="11"/>
        <v>-160</v>
      </c>
      <c r="L19" s="70">
        <f t="shared" si="11"/>
        <v>-160</v>
      </c>
      <c r="M19" s="128">
        <f>SUM(I19:L19)</f>
        <v>-640</v>
      </c>
      <c r="N19" s="178"/>
      <c r="O19" s="116">
        <f t="shared" si="9"/>
        <v>0.33333333333333326</v>
      </c>
      <c r="Q19" s="158" t="s">
        <v>155</v>
      </c>
    </row>
    <row r="20" spans="2:17" x14ac:dyDescent="0.25">
      <c r="B20" s="52" t="s">
        <v>121</v>
      </c>
      <c r="C20" s="70">
        <f>-C10*C15</f>
        <v>-276</v>
      </c>
      <c r="D20" s="70">
        <f t="shared" ref="D20:F20" si="12">-D10*D15</f>
        <v>-288</v>
      </c>
      <c r="E20" s="70">
        <f t="shared" si="12"/>
        <v>-288</v>
      </c>
      <c r="F20" s="70">
        <f t="shared" si="12"/>
        <v>-282</v>
      </c>
      <c r="G20" s="128">
        <f>SUM(C20:F20)</f>
        <v>-1134</v>
      </c>
      <c r="H20" s="176"/>
      <c r="I20" s="70">
        <f>-I10*I15</f>
        <v>-296.10000000000002</v>
      </c>
      <c r="J20" s="70">
        <f t="shared" ref="J20:L20" si="13">-J10*J15</f>
        <v>-296.10000000000002</v>
      </c>
      <c r="K20" s="70">
        <f t="shared" si="13"/>
        <v>-296.10000000000002</v>
      </c>
      <c r="L20" s="70">
        <f t="shared" si="13"/>
        <v>-296.10000000000002</v>
      </c>
      <c r="M20" s="128">
        <f t="shared" si="8"/>
        <v>-1184.4000000000001</v>
      </c>
      <c r="N20" s="178"/>
      <c r="O20" s="116">
        <f t="shared" si="9"/>
        <v>4.4444444444444509E-2</v>
      </c>
      <c r="Q20" s="158" t="s">
        <v>156</v>
      </c>
    </row>
    <row r="21" spans="2:17" ht="12" thickBot="1" x14ac:dyDescent="0.3">
      <c r="B21" s="14" t="s">
        <v>123</v>
      </c>
      <c r="C21" s="32">
        <f>SUM(C18:C20)</f>
        <v>-893.5</v>
      </c>
      <c r="D21" s="32">
        <f t="shared" ref="D21:G21" si="14">SUM(D18:D20)</f>
        <v>-1722</v>
      </c>
      <c r="E21" s="32">
        <f t="shared" si="14"/>
        <v>-1662</v>
      </c>
      <c r="F21" s="32">
        <f t="shared" si="14"/>
        <v>-811.83333333333326</v>
      </c>
      <c r="G21" s="32">
        <f t="shared" si="14"/>
        <v>-5089.333333333333</v>
      </c>
      <c r="H21" s="24"/>
      <c r="I21" s="32">
        <f t="shared" ref="I21" si="15">SUM(I18:I20)</f>
        <v>-997.43333333333339</v>
      </c>
      <c r="J21" s="32">
        <f t="shared" ref="J21" si="16">SUM(J18:J20)</f>
        <v>-1941.2166666666667</v>
      </c>
      <c r="K21" s="32">
        <f t="shared" ref="K21" si="17">SUM(K18:K20)</f>
        <v>-1873.2333333333331</v>
      </c>
      <c r="L21" s="32">
        <f t="shared" ref="L21" si="18">SUM(L18:L20)</f>
        <v>-918.26666666666654</v>
      </c>
      <c r="M21" s="32">
        <f t="shared" ref="M21" si="19">SUM(M18:M20)</f>
        <v>-5730.15</v>
      </c>
      <c r="N21" s="24"/>
      <c r="O21" s="179">
        <f t="shared" si="9"/>
        <v>0.12591367566151423</v>
      </c>
    </row>
    <row r="22" spans="2:17" x14ac:dyDescent="0.25">
      <c r="N22" s="103"/>
    </row>
    <row r="23" spans="2:17" x14ac:dyDescent="0.25">
      <c r="N23" s="103"/>
    </row>
    <row r="24" spans="2:17" x14ac:dyDescent="0.25">
      <c r="N24" s="103"/>
    </row>
  </sheetData>
  <mergeCells count="2">
    <mergeCell ref="C3:G3"/>
    <mergeCell ref="I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29"/>
  <sheetViews>
    <sheetView zoomScaleNormal="100" workbookViewId="0">
      <selection activeCell="C21" sqref="C21"/>
    </sheetView>
  </sheetViews>
  <sheetFormatPr defaultColWidth="9.26953125" defaultRowHeight="11.5" x14ac:dyDescent="0.25"/>
  <cols>
    <col min="1" max="1" width="2" style="2" customWidth="1"/>
    <col min="2" max="2" width="26.54296875" style="2" customWidth="1"/>
    <col min="3" max="6" width="9.7265625" style="2" bestFit="1" customWidth="1"/>
    <col min="7" max="7" width="11.26953125" style="79" bestFit="1" customWidth="1"/>
    <col min="8" max="8" width="2" style="2" customWidth="1"/>
    <col min="9" max="12" width="9.7265625" style="2" bestFit="1" customWidth="1"/>
    <col min="13" max="13" width="11.26953125" style="79" bestFit="1" customWidth="1"/>
    <col min="14" max="14" width="2.26953125" style="2" customWidth="1"/>
    <col min="15" max="15" width="14.26953125" style="2" customWidth="1"/>
    <col min="16" max="16384" width="9.26953125" style="2"/>
  </cols>
  <sheetData>
    <row r="1" spans="2:15" ht="15.5" x14ac:dyDescent="0.35">
      <c r="B1" s="3" t="s">
        <v>198</v>
      </c>
    </row>
    <row r="4" spans="2:15" x14ac:dyDescent="0.25">
      <c r="C4" s="219" t="s">
        <v>42</v>
      </c>
      <c r="D4" s="219"/>
      <c r="E4" s="219"/>
      <c r="F4" s="219"/>
      <c r="G4" s="219"/>
      <c r="H4" s="6"/>
      <c r="I4" s="219" t="s">
        <v>98</v>
      </c>
      <c r="J4" s="219"/>
      <c r="K4" s="219"/>
      <c r="L4" s="219"/>
      <c r="M4" s="219"/>
      <c r="N4" s="219"/>
      <c r="O4" s="219"/>
    </row>
    <row r="5" spans="2:15" ht="12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1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81" t="s">
        <v>7</v>
      </c>
      <c r="N5" s="19"/>
      <c r="O5" s="159" t="s">
        <v>12</v>
      </c>
    </row>
    <row r="6" spans="2:15" x14ac:dyDescent="0.25">
      <c r="B6" s="2" t="s">
        <v>86</v>
      </c>
      <c r="C6" s="10">
        <f>'Volume and Mix Triangulation'!C12</f>
        <v>195</v>
      </c>
      <c r="D6" s="10">
        <f>'Volume and Mix Triangulation'!D12</f>
        <v>456</v>
      </c>
      <c r="E6" s="10">
        <f>'Volume and Mix Triangulation'!E12</f>
        <v>492</v>
      </c>
      <c r="F6" s="10">
        <f>'Volume and Mix Triangulation'!F12</f>
        <v>233</v>
      </c>
      <c r="G6" s="129">
        <f>SUM(C6:F6)</f>
        <v>1376</v>
      </c>
      <c r="I6" s="10">
        <f>'Volume and Mix Triangulation'!I12</f>
        <v>220</v>
      </c>
      <c r="J6" s="10">
        <f>'Volume and Mix Triangulation'!J12</f>
        <v>515.29999999999995</v>
      </c>
      <c r="K6" s="10">
        <f>'Volume and Mix Triangulation'!K12</f>
        <v>556</v>
      </c>
      <c r="L6" s="10">
        <f>'Volume and Mix Triangulation'!L12</f>
        <v>263</v>
      </c>
      <c r="M6" s="129">
        <f>SUM(I6:L6)</f>
        <v>1554.3</v>
      </c>
      <c r="N6" s="18"/>
      <c r="O6" s="11">
        <f>M6/G6-1</f>
        <v>0.12957848837209296</v>
      </c>
    </row>
    <row r="7" spans="2:15" x14ac:dyDescent="0.25">
      <c r="B7" s="2" t="s">
        <v>43</v>
      </c>
      <c r="C7" s="10">
        <f>'Volume and Mix Triangulation'!C26</f>
        <v>1950</v>
      </c>
      <c r="D7" s="10">
        <f>'Volume and Mix Triangulation'!D26</f>
        <v>4560</v>
      </c>
      <c r="E7" s="10">
        <f>'Volume and Mix Triangulation'!E26</f>
        <v>4920</v>
      </c>
      <c r="F7" s="10">
        <f>'Volume and Mix Triangulation'!F26</f>
        <v>2329.9999999999995</v>
      </c>
      <c r="G7" s="129">
        <f>SUM(C7:F7)</f>
        <v>13760</v>
      </c>
      <c r="I7" s="10">
        <f>'Volume and Mix Triangulation'!I26</f>
        <v>2346.6666666666665</v>
      </c>
      <c r="J7" s="10">
        <f>'Volume and Mix Triangulation'!J26</f>
        <v>5496.5333333333328</v>
      </c>
      <c r="K7" s="10">
        <f>'Volume and Mix Triangulation'!K26</f>
        <v>5930.6666666666661</v>
      </c>
      <c r="L7" s="10">
        <f>'Volume and Mix Triangulation'!L26</f>
        <v>2805.333333333333</v>
      </c>
      <c r="M7" s="129">
        <f>SUM(I7:L7)</f>
        <v>16579.199999999997</v>
      </c>
      <c r="N7" s="18"/>
      <c r="O7" s="11">
        <f>M7/G7-1</f>
        <v>0.20488372093023233</v>
      </c>
    </row>
    <row r="10" spans="2:15" x14ac:dyDescent="0.25">
      <c r="C10" s="219" t="s">
        <v>44</v>
      </c>
      <c r="D10" s="219"/>
      <c r="E10" s="219"/>
      <c r="F10" s="219"/>
      <c r="G10" s="219"/>
      <c r="H10" s="6"/>
      <c r="I10" s="219" t="s">
        <v>99</v>
      </c>
      <c r="J10" s="219"/>
      <c r="K10" s="219"/>
      <c r="L10" s="219"/>
      <c r="M10" s="219"/>
      <c r="N10" s="219"/>
      <c r="O10" s="219"/>
    </row>
    <row r="11" spans="2:15" ht="12" thickBot="1" x14ac:dyDescent="0.3">
      <c r="B11" s="7" t="s">
        <v>127</v>
      </c>
      <c r="C11" s="8" t="s">
        <v>3</v>
      </c>
      <c r="D11" s="8" t="s">
        <v>4</v>
      </c>
      <c r="E11" s="8" t="s">
        <v>5</v>
      </c>
      <c r="F11" s="8" t="s">
        <v>6</v>
      </c>
      <c r="G11" s="81" t="s">
        <v>7</v>
      </c>
      <c r="H11" s="6"/>
      <c r="I11" s="8" t="s">
        <v>3</v>
      </c>
      <c r="J11" s="8" t="s">
        <v>4</v>
      </c>
      <c r="K11" s="8" t="s">
        <v>5</v>
      </c>
      <c r="L11" s="8" t="s">
        <v>6</v>
      </c>
      <c r="M11" s="81" t="s">
        <v>7</v>
      </c>
      <c r="N11" s="19"/>
      <c r="O11" s="159" t="s">
        <v>45</v>
      </c>
    </row>
    <row r="12" spans="2:15" x14ac:dyDescent="0.25">
      <c r="B12" s="2" t="s">
        <v>130</v>
      </c>
      <c r="C12" s="2">
        <v>-75</v>
      </c>
      <c r="D12" s="2">
        <v>-180</v>
      </c>
      <c r="E12" s="2">
        <v>-201</v>
      </c>
      <c r="F12" s="2">
        <v>-103</v>
      </c>
      <c r="G12" s="79">
        <f>SUM(C12:F12)</f>
        <v>-559</v>
      </c>
      <c r="I12" s="26">
        <f>I13*I7</f>
        <v>-95.333333333333329</v>
      </c>
      <c r="J12" s="26">
        <f>J13*J7</f>
        <v>-223.29666666666665</v>
      </c>
      <c r="K12" s="26">
        <f>K13*K7</f>
        <v>-240.93333333333331</v>
      </c>
      <c r="L12" s="26">
        <f>L13*L7</f>
        <v>-113.96666666666665</v>
      </c>
      <c r="M12" s="130">
        <f>SUM(I12:L12)</f>
        <v>-673.53</v>
      </c>
      <c r="O12" s="42" t="s">
        <v>128</v>
      </c>
    </row>
    <row r="13" spans="2:15" x14ac:dyDescent="0.25">
      <c r="B13" s="43" t="s">
        <v>54</v>
      </c>
      <c r="C13" s="44">
        <f>C12/C7</f>
        <v>-3.8461538461538464E-2</v>
      </c>
      <c r="D13" s="44">
        <f>D12/D7</f>
        <v>-3.9473684210526314E-2</v>
      </c>
      <c r="E13" s="44">
        <f>E12/E7</f>
        <v>-4.0853658536585367E-2</v>
      </c>
      <c r="F13" s="44">
        <f>F12/F7</f>
        <v>-4.4206008583690996E-2</v>
      </c>
      <c r="G13" s="76">
        <f>G12/G7</f>
        <v>-4.0625000000000001E-2</v>
      </c>
      <c r="H13" s="9"/>
      <c r="I13" s="44">
        <f>G13</f>
        <v>-4.0625000000000001E-2</v>
      </c>
      <c r="J13" s="44">
        <f>I13</f>
        <v>-4.0625000000000001E-2</v>
      </c>
      <c r="K13" s="44">
        <f>J13</f>
        <v>-4.0625000000000001E-2</v>
      </c>
      <c r="L13" s="44">
        <f>K13</f>
        <v>-4.0625000000000001E-2</v>
      </c>
      <c r="M13" s="76">
        <f>M12/M7</f>
        <v>-4.0625000000000008E-2</v>
      </c>
      <c r="O13" s="42"/>
    </row>
    <row r="14" spans="2:15" x14ac:dyDescent="0.25">
      <c r="B14" s="43"/>
      <c r="O14" s="42"/>
    </row>
    <row r="15" spans="2:15" x14ac:dyDescent="0.25">
      <c r="B15" s="2" t="s">
        <v>46</v>
      </c>
      <c r="C15" s="26">
        <v>-27</v>
      </c>
      <c r="D15" s="26">
        <v>-123</v>
      </c>
      <c r="E15" s="26">
        <v>-156</v>
      </c>
      <c r="F15" s="26">
        <v>-50</v>
      </c>
      <c r="G15" s="130">
        <f>SUM(C15:F15)</f>
        <v>-356</v>
      </c>
      <c r="I15" s="26">
        <f>I7*I16</f>
        <v>-32.492307692307691</v>
      </c>
      <c r="J15" s="26">
        <f>J7*J16</f>
        <v>-148.26175438596491</v>
      </c>
      <c r="K15" s="26">
        <f t="shared" ref="K15:L15" si="0">K7*K16</f>
        <v>-188.04552845528454</v>
      </c>
      <c r="L15" s="26">
        <f t="shared" si="0"/>
        <v>-60.20028612303291</v>
      </c>
      <c r="M15" s="130">
        <f>SUM(I15:L15)</f>
        <v>-428.99987665659006</v>
      </c>
      <c r="O15" s="42" t="s">
        <v>129</v>
      </c>
    </row>
    <row r="16" spans="2:15" x14ac:dyDescent="0.25">
      <c r="B16" s="43" t="s">
        <v>54</v>
      </c>
      <c r="C16" s="45">
        <f>C15/C7</f>
        <v>-1.3846153846153847E-2</v>
      </c>
      <c r="D16" s="44">
        <f>D15/D7</f>
        <v>-2.6973684210526316E-2</v>
      </c>
      <c r="E16" s="44">
        <f>E15/E7</f>
        <v>-3.1707317073170732E-2</v>
      </c>
      <c r="F16" s="44">
        <f>F15/F7</f>
        <v>-2.1459227467811162E-2</v>
      </c>
      <c r="G16" s="131">
        <f>G15/G7</f>
        <v>-2.5872093023255813E-2</v>
      </c>
      <c r="I16" s="44">
        <f>C16</f>
        <v>-1.3846153846153847E-2</v>
      </c>
      <c r="J16" s="44">
        <f t="shared" ref="J16:L16" si="1">D16</f>
        <v>-2.6973684210526316E-2</v>
      </c>
      <c r="K16" s="44">
        <f t="shared" si="1"/>
        <v>-3.1707317073170732E-2</v>
      </c>
      <c r="L16" s="44">
        <f t="shared" si="1"/>
        <v>-2.1459227467811162E-2</v>
      </c>
      <c r="M16" s="132">
        <f>M15/M7</f>
        <v>-2.5875788738696084E-2</v>
      </c>
      <c r="O16" s="42"/>
    </row>
    <row r="17" spans="2:15" x14ac:dyDescent="0.25">
      <c r="O17" s="42"/>
    </row>
    <row r="18" spans="2:15" x14ac:dyDescent="0.25">
      <c r="B18" s="2" t="s">
        <v>47</v>
      </c>
      <c r="C18" s="2">
        <v>-43</v>
      </c>
      <c r="D18" s="2">
        <v>-181</v>
      </c>
      <c r="E18" s="2">
        <v>-197</v>
      </c>
      <c r="F18" s="2">
        <v>-81</v>
      </c>
      <c r="G18" s="130">
        <f>SUM(C18:F18)</f>
        <v>-502</v>
      </c>
      <c r="I18" s="26">
        <f>I7*I19</f>
        <v>-51.747008547008541</v>
      </c>
      <c r="J18" s="26">
        <f>J7*J19</f>
        <v>-218.1738011695906</v>
      </c>
      <c r="K18" s="26">
        <f>K7*K19</f>
        <v>-237.46775067750673</v>
      </c>
      <c r="L18" s="26">
        <f>L7*L19</f>
        <v>-97.524463519313329</v>
      </c>
      <c r="M18" s="130">
        <f>SUM(I18:L18)</f>
        <v>-604.91302391341924</v>
      </c>
      <c r="O18" s="42" t="s">
        <v>129</v>
      </c>
    </row>
    <row r="19" spans="2:15" x14ac:dyDescent="0.25">
      <c r="B19" s="43" t="s">
        <v>54</v>
      </c>
      <c r="C19" s="45">
        <f>C18/C7</f>
        <v>-2.205128205128205E-2</v>
      </c>
      <c r="D19" s="45">
        <f>D18/D7</f>
        <v>-3.9692982456140349E-2</v>
      </c>
      <c r="E19" s="45">
        <f>E18/E7</f>
        <v>-4.0040650406504064E-2</v>
      </c>
      <c r="F19" s="45">
        <f>F18/F7</f>
        <v>-3.4763948497854087E-2</v>
      </c>
      <c r="G19" s="131">
        <f>G18/G7</f>
        <v>-3.6482558139534882E-2</v>
      </c>
      <c r="I19" s="45">
        <f>C19</f>
        <v>-2.205128205128205E-2</v>
      </c>
      <c r="J19" s="45">
        <f t="shared" ref="J19:L19" si="2">D19</f>
        <v>-3.9692982456140349E-2</v>
      </c>
      <c r="K19" s="45">
        <f t="shared" si="2"/>
        <v>-4.0040650406504064E-2</v>
      </c>
      <c r="L19" s="45">
        <f t="shared" si="2"/>
        <v>-3.4763948497854087E-2</v>
      </c>
      <c r="M19" s="131">
        <f>M18/M7</f>
        <v>-3.6486261334287499E-2</v>
      </c>
      <c r="O19" s="42"/>
    </row>
    <row r="20" spans="2:15" x14ac:dyDescent="0.25">
      <c r="O20" s="42"/>
    </row>
    <row r="21" spans="2:15" x14ac:dyDescent="0.25">
      <c r="B21" s="2" t="s">
        <v>125</v>
      </c>
      <c r="C21" s="28">
        <f>'Payroll Expense'!C20</f>
        <v>-276</v>
      </c>
      <c r="D21" s="28">
        <f>'Payroll Expense'!D20</f>
        <v>-288</v>
      </c>
      <c r="E21" s="28">
        <f>'Payroll Expense'!E20</f>
        <v>-288</v>
      </c>
      <c r="F21" s="28">
        <f>'Payroll Expense'!F20</f>
        <v>-282</v>
      </c>
      <c r="G21" s="72">
        <f>SUM(C21:F21)</f>
        <v>-1134</v>
      </c>
      <c r="I21" s="28">
        <f>'Payroll Expense'!I20</f>
        <v>-296.10000000000002</v>
      </c>
      <c r="J21" s="28">
        <f>'Payroll Expense'!J20</f>
        <v>-296.10000000000002</v>
      </c>
      <c r="K21" s="28">
        <f>'Payroll Expense'!K20</f>
        <v>-296.10000000000002</v>
      </c>
      <c r="L21" s="28">
        <f>'Payroll Expense'!L20</f>
        <v>-296.10000000000002</v>
      </c>
      <c r="M21" s="72">
        <f>SUM(I21:L21)</f>
        <v>-1184.4000000000001</v>
      </c>
      <c r="O21" s="42" t="s">
        <v>126</v>
      </c>
    </row>
    <row r="22" spans="2:15" x14ac:dyDescent="0.25">
      <c r="B22" s="43" t="s">
        <v>54</v>
      </c>
      <c r="C22" s="45">
        <f>C21/C7</f>
        <v>-0.14153846153846153</v>
      </c>
      <c r="D22" s="45">
        <f>D21/D7</f>
        <v>-6.3157894736842107E-2</v>
      </c>
      <c r="E22" s="45">
        <f>E21/E7</f>
        <v>-5.8536585365853662E-2</v>
      </c>
      <c r="F22" s="45">
        <f>F21/F7</f>
        <v>-0.12103004291845496</v>
      </c>
      <c r="G22" s="131">
        <f>G21/G7</f>
        <v>-8.2412790697674418E-2</v>
      </c>
      <c r="I22" s="45">
        <f>I21/I7</f>
        <v>-0.12617897727272728</v>
      </c>
      <c r="J22" s="45">
        <f>J21/J7</f>
        <v>-5.387031826120707E-2</v>
      </c>
      <c r="K22" s="45">
        <f>K21/K7</f>
        <v>-4.992693345323742E-2</v>
      </c>
      <c r="L22" s="45">
        <f>L21/L7</f>
        <v>-0.1055489543726236</v>
      </c>
      <c r="M22" s="131">
        <f>M21/M7</f>
        <v>-7.1438911407064293E-2</v>
      </c>
      <c r="O22" s="42"/>
    </row>
    <row r="23" spans="2:15" x14ac:dyDescent="0.25">
      <c r="O23" s="42"/>
    </row>
    <row r="24" spans="2:15" x14ac:dyDescent="0.25">
      <c r="B24" s="2" t="s">
        <v>48</v>
      </c>
      <c r="C24" s="2">
        <v>-40</v>
      </c>
      <c r="D24" s="2">
        <v>-40</v>
      </c>
      <c r="E24" s="2">
        <v>-40</v>
      </c>
      <c r="F24" s="2">
        <v>-40</v>
      </c>
      <c r="G24" s="79">
        <f>SUM(C24:F24)</f>
        <v>-160</v>
      </c>
      <c r="I24" s="2">
        <f>C24</f>
        <v>-40</v>
      </c>
      <c r="J24" s="2">
        <f t="shared" ref="J24:L24" si="3">D24</f>
        <v>-40</v>
      </c>
      <c r="K24" s="2">
        <f t="shared" si="3"/>
        <v>-40</v>
      </c>
      <c r="L24" s="2">
        <f t="shared" si="3"/>
        <v>-40</v>
      </c>
      <c r="M24" s="79">
        <f>SUM(I24:L24)</f>
        <v>-160</v>
      </c>
      <c r="O24" s="42" t="s">
        <v>197</v>
      </c>
    </row>
    <row r="25" spans="2:15" x14ac:dyDescent="0.25">
      <c r="B25" s="43" t="s">
        <v>54</v>
      </c>
      <c r="C25" s="45">
        <f>C24/C7</f>
        <v>-2.0512820512820513E-2</v>
      </c>
      <c r="D25" s="45">
        <f>D24/D7</f>
        <v>-8.771929824561403E-3</v>
      </c>
      <c r="E25" s="45">
        <f>E24/E7</f>
        <v>-8.130081300813009E-3</v>
      </c>
      <c r="F25" s="45">
        <f>F24/F7</f>
        <v>-1.716738197424893E-2</v>
      </c>
      <c r="G25" s="131">
        <f>G24/G7</f>
        <v>-1.1627906976744186E-2</v>
      </c>
      <c r="I25" s="45">
        <f>I24/I7</f>
        <v>-1.7045454545454548E-2</v>
      </c>
      <c r="J25" s="45">
        <f t="shared" ref="J25:M25" si="4">J24/J7</f>
        <v>-7.2773141859111207E-3</v>
      </c>
      <c r="K25" s="45">
        <f t="shared" si="4"/>
        <v>-6.7446043165467632E-3</v>
      </c>
      <c r="L25" s="45">
        <f t="shared" si="4"/>
        <v>-1.425855513307985E-2</v>
      </c>
      <c r="M25" s="131">
        <f t="shared" si="4"/>
        <v>-9.6506465933217534E-3</v>
      </c>
      <c r="O25" s="42"/>
    </row>
    <row r="26" spans="2:15" x14ac:dyDescent="0.25">
      <c r="O26" s="42"/>
    </row>
    <row r="27" spans="2:15" ht="12" thickBot="1" x14ac:dyDescent="0.3">
      <c r="B27" s="14" t="s">
        <v>198</v>
      </c>
      <c r="C27" s="46">
        <f>C24+C21+C18+C15+C12</f>
        <v>-461</v>
      </c>
      <c r="D27" s="46">
        <f>D24+D21+D18+D15+D12</f>
        <v>-812</v>
      </c>
      <c r="E27" s="46">
        <f>E24+E21+E18+E15+E12</f>
        <v>-882</v>
      </c>
      <c r="F27" s="46">
        <f>F24+F21+F18+F15+F12</f>
        <v>-556</v>
      </c>
      <c r="G27" s="75">
        <f>G24+G21+G18+G15+G12</f>
        <v>-2711</v>
      </c>
      <c r="H27" s="14"/>
      <c r="I27" s="32">
        <f>I24+I21+I18+I15+I12</f>
        <v>-515.67264957264956</v>
      </c>
      <c r="J27" s="32">
        <f>J24+J21+J18+J15+J12</f>
        <v>-925.83222222222207</v>
      </c>
      <c r="K27" s="32">
        <f>K24+K21+K18+K15+K12</f>
        <v>-1002.5466124661245</v>
      </c>
      <c r="L27" s="32">
        <f>L24+L21+L18+L15+L12</f>
        <v>-607.7914163090129</v>
      </c>
      <c r="M27" s="75">
        <f>M24+M21+M18+M15+M12</f>
        <v>-3051.8429005700091</v>
      </c>
      <c r="N27" s="14"/>
      <c r="O27" s="47"/>
    </row>
    <row r="29" spans="2:15" x14ac:dyDescent="0.25">
      <c r="C29" s="53"/>
      <c r="D29" s="53"/>
      <c r="E29" s="53"/>
      <c r="F29" s="53"/>
      <c r="G29" s="85"/>
      <c r="H29" s="53"/>
      <c r="I29" s="53"/>
      <c r="J29" s="53"/>
      <c r="K29" s="53"/>
      <c r="L29" s="53"/>
      <c r="M29" s="85"/>
    </row>
  </sheetData>
  <mergeCells count="4">
    <mergeCell ref="C4:G4"/>
    <mergeCell ref="I4:O4"/>
    <mergeCell ref="C10:G10"/>
    <mergeCell ref="I10:O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 tint="4.9989318521683403E-2"/>
  </sheetPr>
  <dimension ref="B1:B11"/>
  <sheetViews>
    <sheetView zoomScaleNormal="100" workbookViewId="0">
      <selection activeCell="H17" sqref="H17"/>
    </sheetView>
  </sheetViews>
  <sheetFormatPr defaultColWidth="9.26953125" defaultRowHeight="11.5" x14ac:dyDescent="0.25"/>
  <cols>
    <col min="1" max="1" width="2" style="2" customWidth="1"/>
    <col min="2" max="16384" width="9.26953125" style="2"/>
  </cols>
  <sheetData>
    <row r="1" spans="2:2" ht="15.5" x14ac:dyDescent="0.35">
      <c r="B1" s="3"/>
    </row>
    <row r="11" spans="2:2" ht="37.5" x14ac:dyDescent="0.75">
      <c r="B11" s="4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22"/>
  <sheetViews>
    <sheetView zoomScale="90" zoomScaleNormal="90" workbookViewId="0">
      <selection activeCell="D12" sqref="D12"/>
    </sheetView>
  </sheetViews>
  <sheetFormatPr defaultColWidth="9.26953125" defaultRowHeight="11.5" x14ac:dyDescent="0.25"/>
  <cols>
    <col min="1" max="1" width="2" style="2" customWidth="1"/>
    <col min="2" max="2" width="29.54296875" style="2" customWidth="1"/>
    <col min="3" max="6" width="9.26953125" style="2"/>
    <col min="7" max="7" width="11.7265625" style="79" customWidth="1"/>
    <col min="8" max="8" width="2.26953125" style="18" customWidth="1"/>
    <col min="9" max="12" width="9.26953125" style="2"/>
    <col min="13" max="13" width="9.26953125" style="79"/>
    <col min="14" max="14" width="2.7265625" style="2" customWidth="1"/>
    <col min="15" max="15" width="9.26953125" style="110"/>
    <col min="16" max="16384" width="9.26953125" style="2"/>
  </cols>
  <sheetData>
    <row r="1" spans="2:15" ht="15.5" x14ac:dyDescent="0.35">
      <c r="B1" s="3" t="s">
        <v>49</v>
      </c>
    </row>
    <row r="4" spans="2:15" x14ac:dyDescent="0.25">
      <c r="C4" s="219" t="s">
        <v>42</v>
      </c>
      <c r="D4" s="219"/>
      <c r="E4" s="219"/>
      <c r="F4" s="219"/>
      <c r="G4" s="219"/>
      <c r="H4" s="6"/>
      <c r="I4" s="219" t="s">
        <v>98</v>
      </c>
      <c r="J4" s="219"/>
      <c r="K4" s="219"/>
      <c r="L4" s="219"/>
      <c r="M4" s="219"/>
      <c r="N4" s="219"/>
      <c r="O4" s="219"/>
    </row>
    <row r="5" spans="2:15" ht="12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1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81" t="s">
        <v>7</v>
      </c>
      <c r="N5" s="19"/>
      <c r="O5" s="113" t="s">
        <v>12</v>
      </c>
    </row>
    <row r="6" spans="2:15" ht="12" x14ac:dyDescent="0.3">
      <c r="B6" s="60" t="s">
        <v>43</v>
      </c>
      <c r="C6" s="166">
        <f>'Volume and Mix Triangulation'!C26</f>
        <v>1950</v>
      </c>
      <c r="D6" s="166">
        <f>'Volume and Mix Triangulation'!D26</f>
        <v>4560</v>
      </c>
      <c r="E6" s="166">
        <f>'Volume and Mix Triangulation'!E26</f>
        <v>4920</v>
      </c>
      <c r="F6" s="166">
        <f>'Volume and Mix Triangulation'!F26</f>
        <v>2329.9999999999995</v>
      </c>
      <c r="G6" s="167">
        <f>'Volume and Mix Triangulation'!G26</f>
        <v>13759.999999999998</v>
      </c>
      <c r="H6" s="171"/>
      <c r="I6" s="166">
        <f>'Volume and Mix Triangulation'!I26</f>
        <v>2346.6666666666665</v>
      </c>
      <c r="J6" s="166">
        <f>'Volume and Mix Triangulation'!J26</f>
        <v>5496.5333333333328</v>
      </c>
      <c r="K6" s="166">
        <f>'Volume and Mix Triangulation'!K26</f>
        <v>5930.6666666666661</v>
      </c>
      <c r="L6" s="166">
        <f>'Volume and Mix Triangulation'!L26</f>
        <v>2805.333333333333</v>
      </c>
      <c r="M6" s="167">
        <f>'Volume and Mix Triangulation'!M26</f>
        <v>16579.199999999997</v>
      </c>
      <c r="N6" s="169"/>
      <c r="O6" s="115">
        <f>M6/G6-1</f>
        <v>0.20488372093023255</v>
      </c>
    </row>
    <row r="7" spans="2:15" ht="12" x14ac:dyDescent="0.3">
      <c r="B7" s="60" t="s">
        <v>38</v>
      </c>
      <c r="C7" s="168">
        <f>'Cost of Goods Sold'!C14</f>
        <v>-1296.75</v>
      </c>
      <c r="D7" s="168">
        <f>'Cost of Goods Sold'!D14</f>
        <v>-2570.71</v>
      </c>
      <c r="E7" s="168">
        <f>'Cost of Goods Sold'!E14</f>
        <v>-2476.36</v>
      </c>
      <c r="F7" s="168">
        <f>'Cost of Goods Sold'!F14</f>
        <v>-1158.4766666666665</v>
      </c>
      <c r="G7" s="170">
        <f>'Cost of Goods Sold'!G14</f>
        <v>-7502.2966666666662</v>
      </c>
      <c r="H7" s="171"/>
      <c r="I7" s="168">
        <f>'Cost of Goods Sold'!I14</f>
        <v>-1404.4366666666665</v>
      </c>
      <c r="J7" s="168">
        <f>'Cost of Goods Sold'!J14</f>
        <v>-2877.7663333333335</v>
      </c>
      <c r="K7" s="168">
        <f>'Cost of Goods Sold'!K14</f>
        <v>-2770.8636666666662</v>
      </c>
      <c r="L7" s="168">
        <f>'Cost of Goods Sold'!L14</f>
        <v>-1280.0033333333331</v>
      </c>
      <c r="M7" s="170">
        <f>'Cost of Goods Sold'!M14</f>
        <v>-8333.07</v>
      </c>
      <c r="N7" s="169"/>
      <c r="O7" s="115">
        <f>M7/G7-1</f>
        <v>0.11073586799420099</v>
      </c>
    </row>
    <row r="8" spans="2:15" x14ac:dyDescent="0.25">
      <c r="C8" s="28"/>
      <c r="D8" s="28"/>
      <c r="E8" s="28"/>
      <c r="F8" s="28"/>
      <c r="G8" s="72"/>
      <c r="H8" s="172"/>
      <c r="I8" s="28"/>
      <c r="J8" s="28"/>
      <c r="K8" s="28"/>
      <c r="L8" s="28"/>
      <c r="M8" s="72"/>
      <c r="N8" s="18"/>
    </row>
    <row r="9" spans="2:15" x14ac:dyDescent="0.25">
      <c r="C9" s="28"/>
      <c r="D9" s="28"/>
      <c r="E9" s="28"/>
      <c r="F9" s="28"/>
      <c r="G9" s="72"/>
      <c r="H9" s="172"/>
      <c r="I9" s="28"/>
      <c r="J9" s="28"/>
      <c r="K9" s="28"/>
      <c r="L9" s="28"/>
      <c r="M9" s="72"/>
      <c r="N9" s="18"/>
    </row>
    <row r="10" spans="2:15" x14ac:dyDescent="0.25">
      <c r="B10" s="2" t="s">
        <v>50</v>
      </c>
      <c r="C10" s="28">
        <v>650</v>
      </c>
      <c r="D10" s="28">
        <v>1520</v>
      </c>
      <c r="E10" s="28">
        <v>1640</v>
      </c>
      <c r="F10" s="28">
        <v>776.66666666666652</v>
      </c>
      <c r="G10" s="72"/>
      <c r="H10" s="172"/>
      <c r="I10" s="28">
        <f>I11*I6/90</f>
        <v>782.22222222222217</v>
      </c>
      <c r="J10" s="28">
        <f>J11*J6/90</f>
        <v>1832.1777777777777</v>
      </c>
      <c r="K10" s="28">
        <f>K11*K6/90</f>
        <v>1976.8888888888885</v>
      </c>
      <c r="L10" s="28">
        <f>L11*L6/90</f>
        <v>935.11111111111097</v>
      </c>
      <c r="M10" s="72"/>
      <c r="N10" s="18"/>
      <c r="O10" s="116"/>
    </row>
    <row r="11" spans="2:15" x14ac:dyDescent="0.25">
      <c r="B11" s="79" t="s">
        <v>163</v>
      </c>
      <c r="C11" s="28">
        <f>C10/C6*90</f>
        <v>30</v>
      </c>
      <c r="D11" s="28">
        <f t="shared" ref="D11:F11" si="0">D10/D6*90</f>
        <v>30</v>
      </c>
      <c r="E11" s="28">
        <f t="shared" si="0"/>
        <v>30</v>
      </c>
      <c r="F11" s="28">
        <f t="shared" si="0"/>
        <v>30</v>
      </c>
      <c r="G11" s="72"/>
      <c r="H11" s="172"/>
      <c r="I11" s="28">
        <f>C11</f>
        <v>30</v>
      </c>
      <c r="J11" s="28">
        <f t="shared" ref="J11:L11" si="1">D11</f>
        <v>30</v>
      </c>
      <c r="K11" s="28">
        <f t="shared" si="1"/>
        <v>30</v>
      </c>
      <c r="L11" s="28">
        <f t="shared" si="1"/>
        <v>30</v>
      </c>
      <c r="M11" s="72"/>
      <c r="N11" s="18"/>
    </row>
    <row r="12" spans="2:15" x14ac:dyDescent="0.25">
      <c r="C12" s="28"/>
      <c r="D12" s="28"/>
      <c r="E12" s="28"/>
      <c r="F12" s="28"/>
      <c r="G12" s="72"/>
      <c r="H12" s="172"/>
      <c r="I12" s="28"/>
      <c r="J12" s="28"/>
      <c r="K12" s="28"/>
      <c r="L12" s="28"/>
      <c r="M12" s="72"/>
      <c r="N12" s="18"/>
    </row>
    <row r="13" spans="2:15" x14ac:dyDescent="0.25">
      <c r="B13" s="2" t="s">
        <v>162</v>
      </c>
      <c r="C13" s="28">
        <v>288.16666666666669</v>
      </c>
      <c r="D13" s="28">
        <v>571.26888888888891</v>
      </c>
      <c r="E13" s="28">
        <v>550.30222222222233</v>
      </c>
      <c r="F13" s="28">
        <v>257.43925925925919</v>
      </c>
      <c r="G13" s="72"/>
      <c r="H13" s="172"/>
      <c r="I13" s="28">
        <f>-I7*I14/90</f>
        <v>312.09703703703701</v>
      </c>
      <c r="J13" s="28">
        <f t="shared" ref="J13:L13" si="2">-J7*J14/90</f>
        <v>639.50362962962959</v>
      </c>
      <c r="K13" s="28">
        <f t="shared" si="2"/>
        <v>615.74748148148149</v>
      </c>
      <c r="L13" s="28">
        <f t="shared" si="2"/>
        <v>284.44518518518515</v>
      </c>
      <c r="M13" s="72"/>
      <c r="N13" s="18"/>
      <c r="O13" s="116"/>
    </row>
    <row r="14" spans="2:15" x14ac:dyDescent="0.25">
      <c r="B14" s="79" t="s">
        <v>164</v>
      </c>
      <c r="C14" s="28">
        <f>-C13/C7*90</f>
        <v>20</v>
      </c>
      <c r="D14" s="28">
        <f t="shared" ref="D14:F14" si="3">-D13/D7*90</f>
        <v>20</v>
      </c>
      <c r="E14" s="28">
        <f t="shared" si="3"/>
        <v>20.000000000000004</v>
      </c>
      <c r="F14" s="28">
        <f t="shared" si="3"/>
        <v>20</v>
      </c>
      <c r="G14" s="72"/>
      <c r="H14" s="172"/>
      <c r="I14" s="28">
        <f>C14</f>
        <v>20</v>
      </c>
      <c r="J14" s="28">
        <f t="shared" ref="J14:L14" si="4">D14</f>
        <v>20</v>
      </c>
      <c r="K14" s="28">
        <f t="shared" si="4"/>
        <v>20.000000000000004</v>
      </c>
      <c r="L14" s="28">
        <f t="shared" si="4"/>
        <v>20</v>
      </c>
      <c r="M14" s="72"/>
      <c r="N14" s="18"/>
    </row>
    <row r="15" spans="2:15" x14ac:dyDescent="0.25">
      <c r="C15" s="28"/>
      <c r="D15" s="28"/>
      <c r="E15" s="28"/>
      <c r="F15" s="28"/>
      <c r="G15" s="72"/>
      <c r="H15" s="172"/>
      <c r="I15" s="28"/>
      <c r="J15" s="28"/>
      <c r="K15" s="28"/>
      <c r="L15" s="28"/>
      <c r="M15" s="72"/>
      <c r="N15" s="18"/>
    </row>
    <row r="16" spans="2:15" x14ac:dyDescent="0.25">
      <c r="B16" s="2" t="s">
        <v>51</v>
      </c>
      <c r="C16" s="28">
        <f>SUM('Production Volume'!C20:C21)</f>
        <v>52</v>
      </c>
      <c r="D16" s="28">
        <f>SUM('Production Volume'!D20:D21)</f>
        <v>121.6</v>
      </c>
      <c r="E16" s="28">
        <f>SUM('Production Volume'!E20:E21)</f>
        <v>131.19999999999999</v>
      </c>
      <c r="F16" s="28">
        <f>SUM('Production Volume'!F20:F21)</f>
        <v>62.133333333333326</v>
      </c>
      <c r="G16" s="72"/>
      <c r="H16" s="172"/>
      <c r="I16" s="28">
        <f>SUM('Production Volume'!I20:I21)</f>
        <v>58.666666666666657</v>
      </c>
      <c r="J16" s="28">
        <f>SUM('Production Volume'!J20:J21)</f>
        <v>137.41333333333333</v>
      </c>
      <c r="K16" s="28">
        <f>SUM('Production Volume'!K20:K21)</f>
        <v>148.26666666666665</v>
      </c>
      <c r="L16" s="28">
        <f>SUM('Production Volume'!L20:L21)</f>
        <v>70.133333333333326</v>
      </c>
      <c r="M16" s="72"/>
      <c r="N16" s="18"/>
      <c r="O16" s="116"/>
    </row>
    <row r="17" spans="2:15" x14ac:dyDescent="0.25">
      <c r="B17" s="79" t="s">
        <v>165</v>
      </c>
      <c r="C17" s="28">
        <f>-C16/C7*90</f>
        <v>3.6090225563909772</v>
      </c>
      <c r="D17" s="28">
        <f>-D16/D7*90</f>
        <v>4.2571896479960785</v>
      </c>
      <c r="E17" s="28">
        <f>-E16/E7*90</f>
        <v>4.7682889402187074</v>
      </c>
      <c r="F17" s="28">
        <f>-F16/F7*90</f>
        <v>4.8270285979001155</v>
      </c>
      <c r="G17" s="72"/>
      <c r="H17" s="172"/>
      <c r="I17" s="28">
        <f>-I16/I7*90</f>
        <v>3.7595144909821494</v>
      </c>
      <c r="J17" s="28">
        <f>-J16/J7*90</f>
        <v>4.2974997159255102</v>
      </c>
      <c r="K17" s="28">
        <f>-K16/K7*90</f>
        <v>4.8158269786159336</v>
      </c>
      <c r="L17" s="28">
        <f>-L16/L7*90</f>
        <v>4.9312371582365673</v>
      </c>
      <c r="M17" s="72"/>
      <c r="N17" s="18"/>
      <c r="O17" s="116"/>
    </row>
    <row r="18" spans="2:15" ht="12" thickBot="1" x14ac:dyDescent="0.3">
      <c r="B18" s="14" t="s">
        <v>49</v>
      </c>
      <c r="C18" s="32">
        <f>C10+C16-C13</f>
        <v>413.83333333333331</v>
      </c>
      <c r="D18" s="32">
        <f>D10+D16-D13</f>
        <v>1070.3311111111111</v>
      </c>
      <c r="E18" s="32">
        <f>E10+E16-E13</f>
        <v>1220.8977777777777</v>
      </c>
      <c r="F18" s="32">
        <f>F10+F16-F13</f>
        <v>581.36074074074065</v>
      </c>
      <c r="G18" s="75">
        <f>SUM(C18:F18)</f>
        <v>3286.4229629629626</v>
      </c>
      <c r="H18" s="173"/>
      <c r="I18" s="32">
        <f t="shared" ref="I18:L18" si="5">I10+I16-I13</f>
        <v>528.79185185185179</v>
      </c>
      <c r="J18" s="32">
        <f t="shared" si="5"/>
        <v>1330.0874814814815</v>
      </c>
      <c r="K18" s="32">
        <f t="shared" si="5"/>
        <v>1509.4080740740737</v>
      </c>
      <c r="L18" s="32">
        <f t="shared" si="5"/>
        <v>720.79925925925909</v>
      </c>
      <c r="M18" s="75">
        <f>SUM(I18:L18)</f>
        <v>4089.0866666666661</v>
      </c>
      <c r="N18" s="174"/>
      <c r="O18" s="165">
        <f>M18/G18-1</f>
        <v>0.24423627535149661</v>
      </c>
    </row>
    <row r="19" spans="2:15" x14ac:dyDescent="0.25">
      <c r="N19" s="18"/>
    </row>
    <row r="20" spans="2:15" ht="12" thickBot="1" x14ac:dyDescent="0.3">
      <c r="B20" s="14" t="s">
        <v>167</v>
      </c>
      <c r="C20" s="32">
        <f>C11+C17-C14</f>
        <v>13.609022556390975</v>
      </c>
      <c r="D20" s="32">
        <f t="shared" ref="D20:F20" si="6">D11+D17-D14</f>
        <v>14.257189647996078</v>
      </c>
      <c r="E20" s="32">
        <f t="shared" si="6"/>
        <v>14.768288940218707</v>
      </c>
      <c r="F20" s="32">
        <f t="shared" si="6"/>
        <v>14.827028597900117</v>
      </c>
      <c r="G20" s="14"/>
      <c r="H20" s="24"/>
      <c r="I20" s="32">
        <f t="shared" ref="I20:L20" si="7">I11+I17-I14</f>
        <v>13.759514490982149</v>
      </c>
      <c r="J20" s="32">
        <f t="shared" si="7"/>
        <v>14.297499715925511</v>
      </c>
      <c r="K20" s="32">
        <f t="shared" si="7"/>
        <v>14.815826978615927</v>
      </c>
      <c r="L20" s="32">
        <f t="shared" si="7"/>
        <v>14.93123715823657</v>
      </c>
      <c r="M20" s="14"/>
      <c r="N20" s="24"/>
      <c r="O20" s="14"/>
    </row>
    <row r="21" spans="2:15" x14ac:dyDescent="0.25">
      <c r="N21" s="18"/>
    </row>
    <row r="22" spans="2:15" x14ac:dyDescent="0.25">
      <c r="C22" s="26"/>
      <c r="D22" s="26"/>
      <c r="E22" s="26"/>
      <c r="F22" s="26"/>
      <c r="I22" s="26"/>
      <c r="J22" s="26"/>
      <c r="K22" s="26"/>
      <c r="L22" s="26"/>
      <c r="N22" s="18"/>
    </row>
  </sheetData>
  <mergeCells count="2">
    <mergeCell ref="C4:G4"/>
    <mergeCell ref="I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8"/>
  <sheetViews>
    <sheetView zoomScaleNormal="100" workbookViewId="0">
      <selection activeCell="C10" sqref="C10"/>
    </sheetView>
  </sheetViews>
  <sheetFormatPr defaultColWidth="9.26953125" defaultRowHeight="11.5" x14ac:dyDescent="0.25"/>
  <cols>
    <col min="1" max="1" width="2" style="2" customWidth="1"/>
    <col min="2" max="2" width="41" style="2" customWidth="1"/>
    <col min="3" max="6" width="9.26953125" style="2"/>
    <col min="7" max="7" width="9.26953125" style="79"/>
    <col min="8" max="8" width="1.7265625" style="18" customWidth="1"/>
    <col min="9" max="12" width="9.26953125" style="2"/>
    <col min="13" max="13" width="9.26953125" style="79" customWidth="1"/>
    <col min="14" max="14" width="1.26953125" style="2" customWidth="1"/>
    <col min="15" max="16384" width="9.26953125" style="2"/>
  </cols>
  <sheetData>
    <row r="1" spans="2:16" ht="15.5" x14ac:dyDescent="0.35">
      <c r="B1" s="3" t="s">
        <v>53</v>
      </c>
    </row>
    <row r="4" spans="2:16" x14ac:dyDescent="0.25">
      <c r="C4" s="219" t="s">
        <v>42</v>
      </c>
      <c r="D4" s="219"/>
      <c r="E4" s="219"/>
      <c r="F4" s="219"/>
      <c r="G4" s="219"/>
      <c r="H4" s="6"/>
      <c r="I4" s="219" t="s">
        <v>98</v>
      </c>
      <c r="J4" s="219"/>
      <c r="K4" s="219"/>
      <c r="L4" s="219"/>
      <c r="M4" s="219"/>
      <c r="N4" s="219"/>
      <c r="O4" s="219"/>
    </row>
    <row r="5" spans="2:16" ht="12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1" t="s">
        <v>7</v>
      </c>
      <c r="H5" s="6"/>
      <c r="I5" s="8" t="s">
        <v>3</v>
      </c>
      <c r="J5" s="8" t="s">
        <v>4</v>
      </c>
      <c r="K5" s="8" t="s">
        <v>5</v>
      </c>
      <c r="L5" s="8" t="s">
        <v>6</v>
      </c>
      <c r="M5" s="81" t="s">
        <v>7</v>
      </c>
      <c r="N5" s="19"/>
      <c r="O5" s="17" t="s">
        <v>12</v>
      </c>
    </row>
    <row r="6" spans="2:16" ht="12" x14ac:dyDescent="0.3">
      <c r="B6" s="60" t="s">
        <v>43</v>
      </c>
      <c r="C6" s="166">
        <f>'Volume and Mix Triangulation'!C26</f>
        <v>1950</v>
      </c>
      <c r="D6" s="166">
        <f>'Volume and Mix Triangulation'!D26</f>
        <v>4560</v>
      </c>
      <c r="E6" s="166">
        <f>'Volume and Mix Triangulation'!E26</f>
        <v>4920</v>
      </c>
      <c r="F6" s="166">
        <f>'Volume and Mix Triangulation'!F26</f>
        <v>2329.9999999999995</v>
      </c>
      <c r="G6" s="167">
        <f>'Volume and Mix Triangulation'!G26</f>
        <v>13759.999999999998</v>
      </c>
      <c r="H6" s="171"/>
      <c r="I6" s="166">
        <f>'Volume and Mix Triangulation'!I26</f>
        <v>2346.6666666666665</v>
      </c>
      <c r="J6" s="166">
        <f>'Volume and Mix Triangulation'!J26</f>
        <v>5496.5333333333328</v>
      </c>
      <c r="K6" s="166">
        <f>'Volume and Mix Triangulation'!K26</f>
        <v>5930.6666666666661</v>
      </c>
      <c r="L6" s="166">
        <f>'Volume and Mix Triangulation'!L26</f>
        <v>2805.333333333333</v>
      </c>
      <c r="M6" s="167">
        <f>'Volume and Mix Triangulation'!M26</f>
        <v>16579.199999999997</v>
      </c>
      <c r="N6" s="169"/>
      <c r="O6" s="187">
        <f>M6/G6-1</f>
        <v>0.20488372093023255</v>
      </c>
    </row>
    <row r="7" spans="2:16" x14ac:dyDescent="0.25">
      <c r="C7" s="28"/>
      <c r="D7" s="28"/>
      <c r="E7" s="28"/>
      <c r="F7" s="28"/>
      <c r="G7" s="72"/>
      <c r="H7" s="172"/>
      <c r="I7" s="28"/>
      <c r="J7" s="28"/>
      <c r="K7" s="28"/>
      <c r="L7" s="28"/>
      <c r="M7" s="72"/>
      <c r="N7" s="18"/>
    </row>
    <row r="8" spans="2:16" x14ac:dyDescent="0.25">
      <c r="B8" s="2" t="s">
        <v>170</v>
      </c>
      <c r="C8" s="28">
        <v>1000</v>
      </c>
      <c r="D8" s="28">
        <f>C16</f>
        <v>1047.5</v>
      </c>
      <c r="E8" s="28">
        <f t="shared" ref="E8:F8" si="0">D16</f>
        <v>1223.125</v>
      </c>
      <c r="F8" s="28">
        <f t="shared" si="0"/>
        <v>1407.96875</v>
      </c>
      <c r="G8" s="72"/>
      <c r="H8" s="172"/>
      <c r="I8" s="28">
        <f>F16</f>
        <v>1454.0703125</v>
      </c>
      <c r="J8" s="28">
        <f>I16</f>
        <v>1498.7001302083333</v>
      </c>
      <c r="K8" s="28">
        <f>J16</f>
        <v>1698.5917903645832</v>
      </c>
      <c r="L8" s="28">
        <f>K16</f>
        <v>1910.1955341796872</v>
      </c>
      <c r="M8" s="72"/>
      <c r="N8" s="18"/>
    </row>
    <row r="9" spans="2:16" x14ac:dyDescent="0.25">
      <c r="C9" s="28"/>
      <c r="D9" s="28"/>
      <c r="E9" s="28"/>
      <c r="F9" s="28"/>
      <c r="G9" s="72"/>
      <c r="H9" s="172"/>
      <c r="I9" s="28"/>
      <c r="J9" s="28"/>
      <c r="K9" s="28"/>
      <c r="L9" s="28"/>
      <c r="M9" s="72"/>
      <c r="N9" s="18"/>
    </row>
    <row r="10" spans="2:16" x14ac:dyDescent="0.25">
      <c r="B10" s="58" t="s">
        <v>169</v>
      </c>
      <c r="C10" s="28">
        <v>97.5</v>
      </c>
      <c r="D10" s="28">
        <v>228</v>
      </c>
      <c r="E10" s="28">
        <v>246</v>
      </c>
      <c r="F10" s="28">
        <v>116.49999999999999</v>
      </c>
      <c r="G10" s="72">
        <f>SUM(C10:F10)</f>
        <v>688</v>
      </c>
      <c r="H10" s="172"/>
      <c r="I10" s="28">
        <f>I6*I11</f>
        <v>117.33333333333333</v>
      </c>
      <c r="J10" s="28">
        <f t="shared" ref="J10:L10" si="1">J6*J11</f>
        <v>274.82666666666665</v>
      </c>
      <c r="K10" s="28">
        <f t="shared" si="1"/>
        <v>296.5333333333333</v>
      </c>
      <c r="L10" s="28">
        <f t="shared" si="1"/>
        <v>140.26666666666665</v>
      </c>
      <c r="M10" s="72">
        <f>SUM(I10:L10)</f>
        <v>828.95999999999992</v>
      </c>
      <c r="N10" s="18"/>
      <c r="O10" s="11"/>
    </row>
    <row r="11" spans="2:16" x14ac:dyDescent="0.25">
      <c r="B11" s="48" t="s">
        <v>54</v>
      </c>
      <c r="C11" s="49">
        <f>C10/C6</f>
        <v>0.05</v>
      </c>
      <c r="D11" s="49">
        <f t="shared" ref="D11:F11" si="2">D10/D6</f>
        <v>0.05</v>
      </c>
      <c r="E11" s="49">
        <f t="shared" si="2"/>
        <v>0.05</v>
      </c>
      <c r="F11" s="49">
        <f t="shared" si="2"/>
        <v>0.05</v>
      </c>
      <c r="G11" s="184"/>
      <c r="H11" s="186"/>
      <c r="I11" s="49">
        <f>C11</f>
        <v>0.05</v>
      </c>
      <c r="J11" s="49">
        <f t="shared" ref="J11:L11" si="3">D11</f>
        <v>0.05</v>
      </c>
      <c r="K11" s="49">
        <f t="shared" si="3"/>
        <v>0.05</v>
      </c>
      <c r="L11" s="49">
        <f t="shared" si="3"/>
        <v>0.05</v>
      </c>
      <c r="M11" s="184"/>
      <c r="N11" s="186"/>
      <c r="O11" s="48"/>
      <c r="P11" s="48"/>
    </row>
    <row r="12" spans="2:16" x14ac:dyDescent="0.25">
      <c r="N12" s="18"/>
    </row>
    <row r="13" spans="2:16" x14ac:dyDescent="0.25">
      <c r="B13" s="2" t="s">
        <v>110</v>
      </c>
      <c r="C13" s="28">
        <f>-C14*C8</f>
        <v>-50</v>
      </c>
      <c r="D13" s="28">
        <f t="shared" ref="D13:F13" si="4">-D14*D8</f>
        <v>-52.375</v>
      </c>
      <c r="E13" s="28">
        <f t="shared" si="4"/>
        <v>-61.15625</v>
      </c>
      <c r="F13" s="28">
        <f t="shared" si="4"/>
        <v>-70.3984375</v>
      </c>
      <c r="G13" s="72">
        <f>SUM(C13:F13)</f>
        <v>-233.9296875</v>
      </c>
      <c r="H13" s="172"/>
      <c r="I13" s="28">
        <f>-I8*I14</f>
        <v>-72.703515625000009</v>
      </c>
      <c r="J13" s="28">
        <f>-J8*J14</f>
        <v>-74.93500651041667</v>
      </c>
      <c r="K13" s="28">
        <f>-K8*K14</f>
        <v>-84.929589518229164</v>
      </c>
      <c r="L13" s="28">
        <f>-L8*L14</f>
        <v>-95.509776708984361</v>
      </c>
      <c r="M13" s="72">
        <f>SUM(I13:L13)</f>
        <v>-328.07788836263023</v>
      </c>
      <c r="N13" s="18"/>
    </row>
    <row r="14" spans="2:16" x14ac:dyDescent="0.25">
      <c r="B14" s="48" t="s">
        <v>55</v>
      </c>
      <c r="C14" s="49">
        <v>0.05</v>
      </c>
      <c r="D14" s="49">
        <v>0.05</v>
      </c>
      <c r="E14" s="49">
        <v>0.05</v>
      </c>
      <c r="F14" s="49">
        <v>0.05</v>
      </c>
      <c r="G14" s="184"/>
      <c r="I14" s="49">
        <f>C14</f>
        <v>0.05</v>
      </c>
      <c r="J14" s="49">
        <f t="shared" ref="J14:L14" si="5">D14</f>
        <v>0.05</v>
      </c>
      <c r="K14" s="49">
        <f t="shared" si="5"/>
        <v>0.05</v>
      </c>
      <c r="L14" s="49">
        <f t="shared" si="5"/>
        <v>0.05</v>
      </c>
      <c r="M14" s="184"/>
      <c r="N14" s="18"/>
    </row>
    <row r="15" spans="2:16" x14ac:dyDescent="0.25">
      <c r="N15" s="18"/>
    </row>
    <row r="16" spans="2:16" ht="12" thickBot="1" x14ac:dyDescent="0.3">
      <c r="B16" s="14" t="s">
        <v>171</v>
      </c>
      <c r="C16" s="32">
        <f>C8+C10+C13</f>
        <v>1047.5</v>
      </c>
      <c r="D16" s="32">
        <f>D8+D10+D13</f>
        <v>1223.125</v>
      </c>
      <c r="E16" s="32">
        <f>E8+E10+E13</f>
        <v>1407.96875</v>
      </c>
      <c r="F16" s="32">
        <f>F8+F10+F13</f>
        <v>1454.0703125</v>
      </c>
      <c r="G16" s="185"/>
      <c r="H16" s="24"/>
      <c r="I16" s="32">
        <f>I8+I10+I13</f>
        <v>1498.7001302083333</v>
      </c>
      <c r="J16" s="32">
        <f>J8+J10+J13</f>
        <v>1698.5917903645832</v>
      </c>
      <c r="K16" s="32">
        <f>K8+K10+K13</f>
        <v>1910.1955341796872</v>
      </c>
      <c r="L16" s="32">
        <f>L8+L10+L13</f>
        <v>1954.9524241373695</v>
      </c>
      <c r="M16" s="185"/>
      <c r="N16" s="24"/>
      <c r="O16" s="14"/>
    </row>
    <row r="17" spans="14:14" x14ac:dyDescent="0.25">
      <c r="N17" s="18"/>
    </row>
    <row r="18" spans="14:14" x14ac:dyDescent="0.25">
      <c r="N18" s="18"/>
    </row>
  </sheetData>
  <mergeCells count="2">
    <mergeCell ref="C4:G4"/>
    <mergeCell ref="I4:O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4A32-D414-4D07-8ABE-D13C833E18B3}">
  <dimension ref="B1:V27"/>
  <sheetViews>
    <sheetView showGridLines="0" workbookViewId="0">
      <selection activeCell="E12" sqref="E12"/>
    </sheetView>
  </sheetViews>
  <sheetFormatPr defaultColWidth="8.7265625" defaultRowHeight="11.5" x14ac:dyDescent="0.25"/>
  <cols>
    <col min="1" max="1" width="1.54296875" style="52" customWidth="1"/>
    <col min="2" max="2" width="17.26953125" style="52" customWidth="1"/>
    <col min="3" max="6" width="7.54296875" style="52" customWidth="1"/>
    <col min="7" max="7" width="2" style="103" customWidth="1"/>
    <col min="8" max="11" width="7.54296875" style="52" customWidth="1"/>
    <col min="12" max="12" width="1.81640625" style="103" customWidth="1"/>
    <col min="13" max="20" width="7.54296875" style="52" customWidth="1"/>
    <col min="21" max="21" width="1.7265625" style="52" customWidth="1"/>
    <col min="22" max="16384" width="8.7265625" style="52"/>
  </cols>
  <sheetData>
    <row r="1" spans="2:22" ht="15.5" x14ac:dyDescent="0.35">
      <c r="B1" s="3" t="s">
        <v>113</v>
      </c>
    </row>
    <row r="2" spans="2:22" ht="15.5" x14ac:dyDescent="0.35">
      <c r="B2" s="3"/>
    </row>
    <row r="3" spans="2:22" ht="15.5" x14ac:dyDescent="0.35">
      <c r="B3" s="3"/>
    </row>
    <row r="4" spans="2:22" x14ac:dyDescent="0.25">
      <c r="B4" s="94" t="s">
        <v>111</v>
      </c>
      <c r="C4" s="95"/>
      <c r="D4" s="96">
        <v>200</v>
      </c>
    </row>
    <row r="5" spans="2:22" x14ac:dyDescent="0.25">
      <c r="B5" s="97" t="s">
        <v>112</v>
      </c>
      <c r="C5" s="71"/>
      <c r="D5" s="98">
        <v>6.1539999999999997E-2</v>
      </c>
    </row>
    <row r="6" spans="2:22" x14ac:dyDescent="0.25">
      <c r="B6" s="97" t="s">
        <v>175</v>
      </c>
      <c r="C6" s="71"/>
      <c r="D6" s="192">
        <v>20</v>
      </c>
    </row>
    <row r="7" spans="2:22" x14ac:dyDescent="0.25">
      <c r="B7" s="99" t="s">
        <v>199</v>
      </c>
      <c r="C7" s="100"/>
      <c r="D7" s="101">
        <v>4</v>
      </c>
    </row>
    <row r="9" spans="2:22" x14ac:dyDescent="0.25">
      <c r="C9" s="219" t="s">
        <v>120</v>
      </c>
      <c r="D9" s="219"/>
      <c r="E9" s="219"/>
      <c r="F9" s="219"/>
      <c r="G9" s="104"/>
      <c r="H9" s="219" t="s">
        <v>172</v>
      </c>
      <c r="I9" s="219"/>
      <c r="J9" s="219"/>
      <c r="K9" s="219"/>
      <c r="L9" s="104"/>
      <c r="M9" s="219" t="s">
        <v>173</v>
      </c>
      <c r="N9" s="219"/>
      <c r="O9" s="219"/>
      <c r="P9" s="219"/>
      <c r="Q9" s="219"/>
      <c r="R9" s="219"/>
      <c r="S9" s="219"/>
      <c r="T9" s="219"/>
    </row>
    <row r="10" spans="2:22" ht="12" thickBot="1" x14ac:dyDescent="0.3">
      <c r="B10" s="7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105"/>
      <c r="H10" s="8" t="s">
        <v>3</v>
      </c>
      <c r="I10" s="8" t="s">
        <v>4</v>
      </c>
      <c r="J10" s="8" t="s">
        <v>5</v>
      </c>
      <c r="K10" s="8" t="s">
        <v>6</v>
      </c>
      <c r="L10" s="105"/>
      <c r="M10" s="8" t="s">
        <v>3</v>
      </c>
      <c r="N10" s="8" t="s">
        <v>4</v>
      </c>
      <c r="O10" s="8" t="s">
        <v>5</v>
      </c>
      <c r="P10" s="8" t="s">
        <v>6</v>
      </c>
      <c r="Q10" s="8" t="s">
        <v>3</v>
      </c>
      <c r="R10" s="8" t="s">
        <v>4</v>
      </c>
      <c r="S10" s="8" t="s">
        <v>5</v>
      </c>
      <c r="T10" s="8" t="s">
        <v>6</v>
      </c>
    </row>
    <row r="11" spans="2:22" x14ac:dyDescent="0.25">
      <c r="B11" s="52" t="s">
        <v>102</v>
      </c>
      <c r="C11" s="108">
        <v>200</v>
      </c>
      <c r="D11" s="106">
        <v>192.30799999999999</v>
      </c>
      <c r="E11" s="106">
        <v>184.14263431999998</v>
      </c>
      <c r="F11" s="106">
        <v>175.4747720360528</v>
      </c>
      <c r="G11" s="107"/>
      <c r="H11" s="106">
        <v>166.27348950715148</v>
      </c>
      <c r="I11" s="106">
        <v>156.5059600514216</v>
      </c>
      <c r="J11" s="106">
        <v>146.13733683298608</v>
      </c>
      <c r="K11" s="106">
        <v>135.13062854168805</v>
      </c>
      <c r="L11" s="107"/>
      <c r="M11" s="106">
        <v>123.44656742214354</v>
      </c>
      <c r="N11" s="106">
        <v>111.04346918130227</v>
      </c>
      <c r="O11" s="106">
        <v>97.877084274719607</v>
      </c>
      <c r="P11" s="106">
        <v>83.900440040985856</v>
      </c>
      <c r="Q11" s="106">
        <v>69.063673121108124</v>
      </c>
      <c r="R11" s="106">
        <v>53.313851564981121</v>
      </c>
      <c r="S11" s="106">
        <v>36.594785990290056</v>
      </c>
      <c r="T11" s="106">
        <v>18.846829120132504</v>
      </c>
    </row>
    <row r="12" spans="2:22" x14ac:dyDescent="0.25">
      <c r="B12" s="52" t="s">
        <v>103</v>
      </c>
      <c r="C12" s="106">
        <f>C11*$D$5</f>
        <v>12.308</v>
      </c>
      <c r="D12" s="106">
        <f t="shared" ref="D12:T12" si="0">D11*$D$5</f>
        <v>11.834634319999999</v>
      </c>
      <c r="E12" s="106">
        <f t="shared" si="0"/>
        <v>11.332137716052799</v>
      </c>
      <c r="F12" s="106">
        <f t="shared" si="0"/>
        <v>10.798717471098689</v>
      </c>
      <c r="G12" s="189"/>
      <c r="H12" s="106">
        <f t="shared" si="0"/>
        <v>10.232470544270102</v>
      </c>
      <c r="I12" s="106">
        <f t="shared" si="0"/>
        <v>9.6313767815644837</v>
      </c>
      <c r="J12" s="106">
        <f t="shared" si="0"/>
        <v>8.9932917087019622</v>
      </c>
      <c r="K12" s="106">
        <f t="shared" si="0"/>
        <v>8.3159388804554819</v>
      </c>
      <c r="L12" s="189"/>
      <c r="M12" s="106">
        <f t="shared" si="0"/>
        <v>7.5969017591587136</v>
      </c>
      <c r="N12" s="106">
        <f t="shared" si="0"/>
        <v>6.8336150934173414</v>
      </c>
      <c r="O12" s="106">
        <f t="shared" si="0"/>
        <v>6.0233557662662447</v>
      </c>
      <c r="P12" s="106">
        <f t="shared" si="0"/>
        <v>5.1632330801222697</v>
      </c>
      <c r="Q12" s="106">
        <f t="shared" si="0"/>
        <v>4.2501784438729935</v>
      </c>
      <c r="R12" s="106">
        <f t="shared" si="0"/>
        <v>3.2809344253089381</v>
      </c>
      <c r="S12" s="106">
        <f t="shared" si="0"/>
        <v>2.2520431298424501</v>
      </c>
      <c r="T12" s="106">
        <f t="shared" si="0"/>
        <v>1.1598338640529542</v>
      </c>
    </row>
    <row r="13" spans="2:22" x14ac:dyDescent="0.25">
      <c r="B13" s="52" t="s">
        <v>104</v>
      </c>
      <c r="C13" s="106">
        <v>-20</v>
      </c>
      <c r="D13" s="106">
        <f>C13</f>
        <v>-20</v>
      </c>
      <c r="E13" s="106">
        <f>D13</f>
        <v>-20</v>
      </c>
      <c r="F13" s="106">
        <f>E13</f>
        <v>-20</v>
      </c>
      <c r="G13" s="107"/>
      <c r="H13" s="106">
        <f>F13</f>
        <v>-20</v>
      </c>
      <c r="I13" s="106">
        <f>H13</f>
        <v>-20</v>
      </c>
      <c r="J13" s="106">
        <f>I13</f>
        <v>-20</v>
      </c>
      <c r="K13" s="106">
        <f>J13</f>
        <v>-20</v>
      </c>
      <c r="L13" s="107"/>
      <c r="M13" s="106">
        <f>K13</f>
        <v>-20</v>
      </c>
      <c r="N13" s="106">
        <f>M13</f>
        <v>-20</v>
      </c>
      <c r="O13" s="106">
        <f>N13</f>
        <v>-20</v>
      </c>
      <c r="P13" s="106">
        <f>O13</f>
        <v>-20</v>
      </c>
      <c r="Q13" s="106">
        <f t="shared" ref="Q13:T13" si="1">P13</f>
        <v>-20</v>
      </c>
      <c r="R13" s="106">
        <f t="shared" si="1"/>
        <v>-20</v>
      </c>
      <c r="S13" s="106">
        <f t="shared" si="1"/>
        <v>-20</v>
      </c>
      <c r="T13" s="106">
        <f t="shared" si="1"/>
        <v>-20</v>
      </c>
    </row>
    <row r="14" spans="2:22" s="91" customFormat="1" ht="12" thickBot="1" x14ac:dyDescent="0.3">
      <c r="B14" s="188" t="s">
        <v>105</v>
      </c>
      <c r="C14" s="188">
        <f>C11+C12+C13</f>
        <v>192.30799999999999</v>
      </c>
      <c r="D14" s="188">
        <f t="shared" ref="D14:F14" si="2">D11+D12+D13</f>
        <v>184.14263431999998</v>
      </c>
      <c r="E14" s="188">
        <f t="shared" si="2"/>
        <v>175.4747720360528</v>
      </c>
      <c r="F14" s="188">
        <f t="shared" si="2"/>
        <v>166.27348950715148</v>
      </c>
      <c r="G14" s="190"/>
      <c r="H14" s="188">
        <f t="shared" ref="H14:K14" si="3">H11+H12+H13</f>
        <v>156.5059600514216</v>
      </c>
      <c r="I14" s="188">
        <f t="shared" si="3"/>
        <v>146.13733683298608</v>
      </c>
      <c r="J14" s="188">
        <f t="shared" si="3"/>
        <v>135.13062854168805</v>
      </c>
      <c r="K14" s="188">
        <f t="shared" si="3"/>
        <v>123.44656742214354</v>
      </c>
      <c r="L14" s="190"/>
      <c r="M14" s="188">
        <f t="shared" ref="M14:T14" si="4">M11+M12+M13</f>
        <v>111.04346918130227</v>
      </c>
      <c r="N14" s="188">
        <f t="shared" si="4"/>
        <v>97.877084274719607</v>
      </c>
      <c r="O14" s="188">
        <f t="shared" si="4"/>
        <v>83.900440040985856</v>
      </c>
      <c r="P14" s="188">
        <f t="shared" si="4"/>
        <v>69.063673121108124</v>
      </c>
      <c r="Q14" s="188">
        <f t="shared" si="4"/>
        <v>53.313851564981121</v>
      </c>
      <c r="R14" s="188">
        <f t="shared" si="4"/>
        <v>36.594785990290056</v>
      </c>
      <c r="S14" s="188">
        <f t="shared" si="4"/>
        <v>18.846829120132504</v>
      </c>
      <c r="T14" s="191">
        <f t="shared" si="4"/>
        <v>6.662984185457077E-3</v>
      </c>
      <c r="V14" s="91" t="s">
        <v>174</v>
      </c>
    </row>
    <row r="19" spans="2:12" x14ac:dyDescent="0.25">
      <c r="B19" s="71"/>
      <c r="C19" s="92"/>
      <c r="D19" s="93"/>
      <c r="E19" s="92"/>
      <c r="F19" s="92"/>
      <c r="G19" s="102"/>
      <c r="H19" s="222"/>
      <c r="L19" s="102"/>
    </row>
    <row r="20" spans="2:12" x14ac:dyDescent="0.25">
      <c r="B20" s="71"/>
      <c r="C20" s="92"/>
      <c r="D20" s="93"/>
      <c r="E20" s="92"/>
      <c r="F20" s="92"/>
      <c r="G20" s="102"/>
      <c r="H20" s="222"/>
      <c r="L20" s="102"/>
    </row>
    <row r="21" spans="2:12" x14ac:dyDescent="0.25">
      <c r="B21" s="71"/>
      <c r="C21" s="92"/>
      <c r="D21" s="93"/>
      <c r="E21" s="92"/>
      <c r="F21" s="92"/>
      <c r="G21" s="102"/>
      <c r="H21" s="222"/>
      <c r="L21" s="102"/>
    </row>
    <row r="22" spans="2:12" x14ac:dyDescent="0.25">
      <c r="B22" s="71"/>
      <c r="C22" s="92"/>
      <c r="D22" s="93"/>
      <c r="E22" s="92"/>
      <c r="F22" s="92"/>
      <c r="G22" s="102"/>
      <c r="H22" s="222"/>
      <c r="L22" s="102"/>
    </row>
    <row r="23" spans="2:12" x14ac:dyDescent="0.25">
      <c r="B23" s="71"/>
      <c r="C23" s="92"/>
      <c r="D23" s="93"/>
      <c r="E23" s="92"/>
      <c r="F23" s="92"/>
      <c r="G23" s="102"/>
      <c r="H23" s="222"/>
      <c r="L23" s="102"/>
    </row>
    <row r="24" spans="2:12" x14ac:dyDescent="0.25">
      <c r="B24" s="71"/>
      <c r="C24" s="92"/>
      <c r="D24" s="93"/>
      <c r="E24" s="92"/>
      <c r="F24" s="92"/>
      <c r="G24" s="102"/>
      <c r="H24" s="222"/>
      <c r="L24" s="102"/>
    </row>
    <row r="25" spans="2:12" x14ac:dyDescent="0.25">
      <c r="B25" s="71"/>
      <c r="C25" s="92"/>
      <c r="D25" s="93"/>
      <c r="E25" s="92"/>
      <c r="F25" s="92"/>
      <c r="G25" s="102"/>
      <c r="H25" s="222"/>
      <c r="L25" s="102"/>
    </row>
    <row r="26" spans="2:12" x14ac:dyDescent="0.25">
      <c r="B26" s="71"/>
      <c r="C26" s="92"/>
      <c r="D26" s="93"/>
      <c r="E26" s="92"/>
      <c r="F26" s="92"/>
      <c r="G26" s="102"/>
      <c r="H26" s="222"/>
      <c r="L26" s="102"/>
    </row>
    <row r="27" spans="2:12" x14ac:dyDescent="0.25">
      <c r="B27" s="71"/>
      <c r="C27" s="71"/>
      <c r="D27" s="71"/>
      <c r="E27" s="71"/>
      <c r="F27" s="71"/>
      <c r="H27" s="71"/>
    </row>
  </sheetData>
  <mergeCells count="4">
    <mergeCell ref="M9:T9"/>
    <mergeCell ref="H19:H26"/>
    <mergeCell ref="C9:F9"/>
    <mergeCell ref="H9:K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4.9989318521683403E-2"/>
  </sheetPr>
  <dimension ref="B1:B11"/>
  <sheetViews>
    <sheetView workbookViewId="0">
      <selection activeCell="B7" sqref="B7"/>
    </sheetView>
  </sheetViews>
  <sheetFormatPr defaultColWidth="9.26953125" defaultRowHeight="11.5" x14ac:dyDescent="0.25"/>
  <cols>
    <col min="1" max="1" width="2" style="2" customWidth="1"/>
    <col min="2" max="16384" width="9.26953125" style="2"/>
  </cols>
  <sheetData>
    <row r="1" spans="2:2" ht="15.5" x14ac:dyDescent="0.35">
      <c r="B1" s="3"/>
    </row>
    <row r="11" spans="2:2" ht="37.5" x14ac:dyDescent="0.75">
      <c r="B11" s="4" t="s">
        <v>180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 tint="4.9989318521683403E-2"/>
  </sheetPr>
  <dimension ref="B1:B13"/>
  <sheetViews>
    <sheetView zoomScaleNormal="100" workbookViewId="0">
      <selection activeCell="H19" sqref="H19"/>
    </sheetView>
  </sheetViews>
  <sheetFormatPr defaultColWidth="9.26953125" defaultRowHeight="11.5" x14ac:dyDescent="0.25"/>
  <cols>
    <col min="1" max="1" width="2" style="2" customWidth="1"/>
    <col min="2" max="16384" width="9.26953125" style="2"/>
  </cols>
  <sheetData>
    <row r="1" spans="2:2" ht="15.5" x14ac:dyDescent="0.35">
      <c r="B1" s="3"/>
    </row>
    <row r="11" spans="2:2" ht="37.5" x14ac:dyDescent="0.75">
      <c r="B11" s="4" t="s">
        <v>65</v>
      </c>
    </row>
    <row r="13" spans="2:2" ht="37.5" x14ac:dyDescent="0.75">
      <c r="B13" s="4" t="s">
        <v>131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17"/>
  <sheetViews>
    <sheetView showGridLines="0" zoomScaleNormal="100" workbookViewId="0">
      <selection activeCell="G5" sqref="G5"/>
    </sheetView>
  </sheetViews>
  <sheetFormatPr defaultColWidth="9.26953125" defaultRowHeight="11.5" x14ac:dyDescent="0.25"/>
  <cols>
    <col min="1" max="1" width="2" style="2" customWidth="1"/>
    <col min="2" max="2" width="29.26953125" style="2" customWidth="1"/>
    <col min="3" max="6" width="9.26953125" style="2" customWidth="1"/>
    <col min="7" max="7" width="11.1796875" style="2" customWidth="1"/>
    <col min="8" max="8" width="1.7265625" style="2" customWidth="1"/>
    <col min="9" max="12" width="9.26953125" style="2" customWidth="1"/>
    <col min="13" max="13" width="10.453125" style="2" customWidth="1"/>
    <col min="14" max="14" width="2" style="2" customWidth="1"/>
    <col min="15" max="16384" width="9.26953125" style="2"/>
  </cols>
  <sheetData>
    <row r="1" spans="2:16" ht="15.5" x14ac:dyDescent="0.35">
      <c r="B1" s="3" t="s">
        <v>58</v>
      </c>
    </row>
    <row r="4" spans="2:16" x14ac:dyDescent="0.25">
      <c r="C4" s="219" t="s">
        <v>42</v>
      </c>
      <c r="D4" s="219"/>
      <c r="E4" s="219"/>
      <c r="F4" s="219"/>
      <c r="G4" s="219"/>
      <c r="I4" s="219" t="s">
        <v>98</v>
      </c>
      <c r="J4" s="219"/>
      <c r="K4" s="219"/>
      <c r="L4" s="219"/>
      <c r="M4" s="219"/>
      <c r="N4" s="219"/>
      <c r="O4" s="219"/>
    </row>
    <row r="5" spans="2:16" ht="12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  <c r="O5" s="17" t="s">
        <v>12</v>
      </c>
    </row>
    <row r="6" spans="2:16" x14ac:dyDescent="0.25">
      <c r="B6" s="2" t="s">
        <v>43</v>
      </c>
      <c r="C6" s="28">
        <f>'Volume and Mix Triangulation'!C26</f>
        <v>1950</v>
      </c>
      <c r="D6" s="28">
        <f>'Volume and Mix Triangulation'!D26</f>
        <v>4560</v>
      </c>
      <c r="E6" s="28">
        <f>'Volume and Mix Triangulation'!E26</f>
        <v>4920</v>
      </c>
      <c r="F6" s="28">
        <f>'Volume and Mix Triangulation'!F26</f>
        <v>2329.9999999999995</v>
      </c>
      <c r="G6" s="72">
        <f>'Volume and Mix Triangulation'!G26</f>
        <v>13759.999999999998</v>
      </c>
      <c r="H6" s="28"/>
      <c r="I6" s="28">
        <f>'Volume and Mix Triangulation'!I26</f>
        <v>2346.6666666666665</v>
      </c>
      <c r="J6" s="28">
        <f>'Volume and Mix Triangulation'!J26</f>
        <v>5496.5333333333328</v>
      </c>
      <c r="K6" s="28">
        <f>'Volume and Mix Triangulation'!K26</f>
        <v>5930.6666666666661</v>
      </c>
      <c r="L6" s="28">
        <f>'Volume and Mix Triangulation'!L26</f>
        <v>2805.333333333333</v>
      </c>
      <c r="M6" s="72">
        <f>'Volume and Mix Triangulation'!M26</f>
        <v>16579.199999999997</v>
      </c>
      <c r="N6" s="28"/>
      <c r="O6" s="150">
        <f>M6/G6-1</f>
        <v>0.20488372093023255</v>
      </c>
      <c r="P6" s="28"/>
    </row>
    <row r="7" spans="2:16" x14ac:dyDescent="0.25">
      <c r="B7" s="2" t="s">
        <v>38</v>
      </c>
      <c r="C7" s="28">
        <f>'Cost of Goods Sold'!C14</f>
        <v>-1296.75</v>
      </c>
      <c r="D7" s="28">
        <f>'Cost of Goods Sold'!D14</f>
        <v>-2570.71</v>
      </c>
      <c r="E7" s="28">
        <f>'Cost of Goods Sold'!E14</f>
        <v>-2476.36</v>
      </c>
      <c r="F7" s="28">
        <f>'Cost of Goods Sold'!F14</f>
        <v>-1158.4766666666665</v>
      </c>
      <c r="G7" s="72">
        <f>'Cost of Goods Sold'!G14</f>
        <v>-7502.2966666666662</v>
      </c>
      <c r="H7" s="28"/>
      <c r="I7" s="28">
        <f>'Cost of Goods Sold'!I14</f>
        <v>-1404.4366666666665</v>
      </c>
      <c r="J7" s="28">
        <f>'Cost of Goods Sold'!J14</f>
        <v>-2877.7663333333335</v>
      </c>
      <c r="K7" s="28">
        <f>'Cost of Goods Sold'!K14</f>
        <v>-2770.8636666666662</v>
      </c>
      <c r="L7" s="28">
        <f>'Cost of Goods Sold'!L14</f>
        <v>-1280.0033333333331</v>
      </c>
      <c r="M7" s="72">
        <f>'Cost of Goods Sold'!M14</f>
        <v>-8333.07</v>
      </c>
      <c r="N7" s="28"/>
      <c r="O7" s="11">
        <f t="shared" ref="O7:O17" si="0">M7/G7-1</f>
        <v>0.11073586799420099</v>
      </c>
      <c r="P7" s="28"/>
    </row>
    <row r="8" spans="2:16" x14ac:dyDescent="0.25">
      <c r="B8" s="23" t="s">
        <v>59</v>
      </c>
      <c r="C8" s="50">
        <f>SUM(C6:C7)</f>
        <v>653.25</v>
      </c>
      <c r="D8" s="50">
        <f t="shared" ref="D8:G8" si="1">SUM(D6:D7)</f>
        <v>1989.29</v>
      </c>
      <c r="E8" s="50">
        <f t="shared" si="1"/>
        <v>2443.64</v>
      </c>
      <c r="F8" s="50">
        <f t="shared" si="1"/>
        <v>1171.5233333333331</v>
      </c>
      <c r="G8" s="73">
        <f t="shared" si="1"/>
        <v>6257.703333333332</v>
      </c>
      <c r="H8" s="28"/>
      <c r="I8" s="50">
        <f>I6+I7</f>
        <v>942.23</v>
      </c>
      <c r="J8" s="50">
        <f>J6+J7</f>
        <v>2618.7669999999994</v>
      </c>
      <c r="K8" s="50">
        <f>K6+K7</f>
        <v>3159.8029999999999</v>
      </c>
      <c r="L8" s="50">
        <f>L6+L7</f>
        <v>1525.33</v>
      </c>
      <c r="M8" s="73">
        <f>M6+M7</f>
        <v>8246.1299999999974</v>
      </c>
      <c r="N8" s="28"/>
      <c r="O8" s="161">
        <f t="shared" si="0"/>
        <v>0.3177566210393481</v>
      </c>
      <c r="P8" s="28"/>
    </row>
    <row r="9" spans="2:16" x14ac:dyDescent="0.25">
      <c r="B9" s="2" t="s">
        <v>60</v>
      </c>
      <c r="C9" s="28">
        <f>'SG&amp;A Expense'!C27</f>
        <v>-461</v>
      </c>
      <c r="D9" s="28">
        <f>'SG&amp;A Expense'!D27</f>
        <v>-812</v>
      </c>
      <c r="E9" s="28">
        <f>'SG&amp;A Expense'!E27</f>
        <v>-882</v>
      </c>
      <c r="F9" s="28">
        <f>'SG&amp;A Expense'!F27</f>
        <v>-556</v>
      </c>
      <c r="G9" s="72">
        <f>'SG&amp;A Expense'!G27</f>
        <v>-2711</v>
      </c>
      <c r="H9" s="28"/>
      <c r="I9" s="28">
        <f>'SG&amp;A Expense'!I27</f>
        <v>-515.67264957264956</v>
      </c>
      <c r="J9" s="28">
        <f>'SG&amp;A Expense'!J27</f>
        <v>-925.83222222222207</v>
      </c>
      <c r="K9" s="28">
        <f>'SG&amp;A Expense'!K27</f>
        <v>-1002.5466124661245</v>
      </c>
      <c r="L9" s="28">
        <f>'SG&amp;A Expense'!L27</f>
        <v>-607.7914163090129</v>
      </c>
      <c r="M9" s="72">
        <f>'SG&amp;A Expense'!M27</f>
        <v>-3051.8429005700091</v>
      </c>
      <c r="N9" s="28"/>
      <c r="O9" s="11">
        <f t="shared" si="0"/>
        <v>0.12572589471413087</v>
      </c>
      <c r="P9" s="28"/>
    </row>
    <row r="10" spans="2:16" x14ac:dyDescent="0.25">
      <c r="B10" s="23" t="s">
        <v>61</v>
      </c>
      <c r="C10" s="50">
        <f>SUM(C8:C9)</f>
        <v>192.25</v>
      </c>
      <c r="D10" s="50">
        <f t="shared" ref="D10:G10" si="2">SUM(D8:D9)</f>
        <v>1177.29</v>
      </c>
      <c r="E10" s="50">
        <f t="shared" si="2"/>
        <v>1561.6399999999999</v>
      </c>
      <c r="F10" s="50">
        <f t="shared" si="2"/>
        <v>615.52333333333308</v>
      </c>
      <c r="G10" s="73">
        <f t="shared" si="2"/>
        <v>3546.703333333332</v>
      </c>
      <c r="H10" s="28"/>
      <c r="I10" s="50">
        <f>I8+I9</f>
        <v>426.55735042735046</v>
      </c>
      <c r="J10" s="50">
        <f>J8+J9</f>
        <v>1692.9347777777773</v>
      </c>
      <c r="K10" s="50">
        <f>K8+K9</f>
        <v>2157.2563875338756</v>
      </c>
      <c r="L10" s="50">
        <f>L8+L9</f>
        <v>917.53858369098702</v>
      </c>
      <c r="M10" s="73">
        <f>M8+M9</f>
        <v>5194.2870994299883</v>
      </c>
      <c r="N10" s="28"/>
      <c r="O10" s="161">
        <f t="shared" si="0"/>
        <v>0.46453949238212489</v>
      </c>
      <c r="P10" s="28"/>
    </row>
    <row r="11" spans="2:16" x14ac:dyDescent="0.25">
      <c r="B11" s="2" t="s">
        <v>57</v>
      </c>
      <c r="C11" s="69">
        <f>'Fixed Assets'!C13</f>
        <v>-50</v>
      </c>
      <c r="D11" s="69">
        <f>'Fixed Assets'!D13</f>
        <v>-52.375</v>
      </c>
      <c r="E11" s="69">
        <f>'Fixed Assets'!E13</f>
        <v>-61.15625</v>
      </c>
      <c r="F11" s="69">
        <f>'Fixed Assets'!F13</f>
        <v>-70.3984375</v>
      </c>
      <c r="G11" s="74">
        <f>SUM(C11:F11)</f>
        <v>-233.9296875</v>
      </c>
      <c r="H11" s="28"/>
      <c r="I11" s="69">
        <f>'Fixed Assets'!I13</f>
        <v>-72.703515625000009</v>
      </c>
      <c r="J11" s="69">
        <f>'Fixed Assets'!J13</f>
        <v>-74.93500651041667</v>
      </c>
      <c r="K11" s="69">
        <f>'Fixed Assets'!K13</f>
        <v>-84.929589518229164</v>
      </c>
      <c r="L11" s="69">
        <f>'Fixed Assets'!L13</f>
        <v>-95.509776708984361</v>
      </c>
      <c r="M11" s="74">
        <f>'Fixed Assets'!M13</f>
        <v>-328.07788836263023</v>
      </c>
      <c r="N11" s="28"/>
      <c r="O11" s="162">
        <f t="shared" si="0"/>
        <v>0.40246367132273542</v>
      </c>
      <c r="P11" s="28"/>
    </row>
    <row r="12" spans="2:16" x14ac:dyDescent="0.25">
      <c r="B12" s="23" t="s">
        <v>62</v>
      </c>
      <c r="C12" s="50">
        <f>SUM(C10:C11)</f>
        <v>142.25</v>
      </c>
      <c r="D12" s="50">
        <f t="shared" ref="D12:G12" si="3">SUM(D10:D11)</f>
        <v>1124.915</v>
      </c>
      <c r="E12" s="50">
        <f t="shared" si="3"/>
        <v>1500.4837499999999</v>
      </c>
      <c r="F12" s="50">
        <f t="shared" si="3"/>
        <v>545.12489583333308</v>
      </c>
      <c r="G12" s="73">
        <f t="shared" si="3"/>
        <v>3312.773645833332</v>
      </c>
      <c r="H12" s="28"/>
      <c r="I12" s="50">
        <f>I10+I11</f>
        <v>353.85383480235043</v>
      </c>
      <c r="J12" s="50">
        <f>J10+J11</f>
        <v>1617.9997712673605</v>
      </c>
      <c r="K12" s="50">
        <f>K10+K11</f>
        <v>2072.3267980156465</v>
      </c>
      <c r="L12" s="50">
        <f>L10+L11</f>
        <v>822.02880698200261</v>
      </c>
      <c r="M12" s="73">
        <f>M10+M11</f>
        <v>4866.2092110673584</v>
      </c>
      <c r="N12" s="28"/>
      <c r="O12" s="161">
        <f t="shared" si="0"/>
        <v>0.4689229423168928</v>
      </c>
      <c r="P12" s="28"/>
    </row>
    <row r="13" spans="2:16" x14ac:dyDescent="0.25">
      <c r="B13" s="2" t="s">
        <v>103</v>
      </c>
      <c r="C13" s="28">
        <f>-'Loan repayment schedule'!C12</f>
        <v>-12.308</v>
      </c>
      <c r="D13" s="28">
        <f>-'Loan repayment schedule'!D12</f>
        <v>-11.834634319999999</v>
      </c>
      <c r="E13" s="28">
        <f>-'Loan repayment schedule'!E12</f>
        <v>-11.332137716052799</v>
      </c>
      <c r="F13" s="28">
        <f>-'Loan repayment schedule'!F12</f>
        <v>-10.798717471098689</v>
      </c>
      <c r="G13" s="72">
        <f>SUM(C13:F13)</f>
        <v>-46.273489507151488</v>
      </c>
      <c r="H13" s="28"/>
      <c r="I13" s="28">
        <f>-'Loan repayment schedule'!H12</f>
        <v>-10.232470544270102</v>
      </c>
      <c r="J13" s="28">
        <f>-'Loan repayment schedule'!I12</f>
        <v>-9.6313767815644837</v>
      </c>
      <c r="K13" s="28">
        <f>-'Loan repayment schedule'!J12</f>
        <v>-8.9932917087019622</v>
      </c>
      <c r="L13" s="28">
        <f>-'Loan repayment schedule'!K12</f>
        <v>-8.3159388804554819</v>
      </c>
      <c r="M13" s="72">
        <f>SUM(I13:L13)</f>
        <v>-37.173077914992028</v>
      </c>
      <c r="N13" s="28"/>
      <c r="O13" s="11">
        <f t="shared" si="0"/>
        <v>-0.19666577319078149</v>
      </c>
      <c r="P13" s="28"/>
    </row>
    <row r="14" spans="2:16" x14ac:dyDescent="0.25">
      <c r="B14" s="23" t="s">
        <v>106</v>
      </c>
      <c r="C14" s="50">
        <f>C12+C13</f>
        <v>129.94200000000001</v>
      </c>
      <c r="D14" s="50">
        <f t="shared" ref="D14:G14" si="4">D12+D13</f>
        <v>1113.0803656799999</v>
      </c>
      <c r="E14" s="50">
        <f t="shared" si="4"/>
        <v>1489.1516122839471</v>
      </c>
      <c r="F14" s="50">
        <f t="shared" si="4"/>
        <v>534.32617836223437</v>
      </c>
      <c r="G14" s="73">
        <f t="shared" si="4"/>
        <v>3266.5001563261803</v>
      </c>
      <c r="H14" s="28"/>
      <c r="I14" s="50">
        <f t="shared" ref="I14" si="5">I12+I13</f>
        <v>343.62136425808035</v>
      </c>
      <c r="J14" s="50">
        <f t="shared" ref="J14" si="6">J12+J13</f>
        <v>1608.368394485796</v>
      </c>
      <c r="K14" s="50">
        <f t="shared" ref="K14" si="7">K12+K13</f>
        <v>2063.3335063069444</v>
      </c>
      <c r="L14" s="50">
        <f t="shared" ref="L14" si="8">L12+L13</f>
        <v>813.71286810154709</v>
      </c>
      <c r="M14" s="73">
        <f t="shared" ref="M14" si="9">M12+M13</f>
        <v>4829.0361331523663</v>
      </c>
      <c r="N14" s="28"/>
      <c r="O14" s="161">
        <f t="shared" si="0"/>
        <v>0.47835172265338688</v>
      </c>
      <c r="P14" s="28"/>
    </row>
    <row r="15" spans="2:16" x14ac:dyDescent="0.25">
      <c r="B15" s="2" t="s">
        <v>63</v>
      </c>
      <c r="C15" s="56">
        <f>-C16*C14</f>
        <v>-19.491299999999999</v>
      </c>
      <c r="D15" s="56">
        <f t="shared" ref="D15:G15" si="10">-D16*D14</f>
        <v>-166.96205485199997</v>
      </c>
      <c r="E15" s="56">
        <f t="shared" si="10"/>
        <v>-223.37274184259206</v>
      </c>
      <c r="F15" s="56">
        <f t="shared" si="10"/>
        <v>-80.14892675433515</v>
      </c>
      <c r="G15" s="133">
        <f t="shared" si="10"/>
        <v>-489.975023448927</v>
      </c>
      <c r="H15" s="56"/>
      <c r="I15" s="56">
        <f>-I16*I14</f>
        <v>-51.543204638712048</v>
      </c>
      <c r="J15" s="56">
        <f t="shared" ref="J15:M15" si="11">-J16*J14</f>
        <v>-241.25525917286939</v>
      </c>
      <c r="K15" s="56">
        <f t="shared" si="11"/>
        <v>-309.50002594604166</v>
      </c>
      <c r="L15" s="56">
        <f t="shared" si="11"/>
        <v>-122.05693021523206</v>
      </c>
      <c r="M15" s="133">
        <f t="shared" si="11"/>
        <v>-724.35541997285497</v>
      </c>
      <c r="N15" s="56"/>
      <c r="O15" s="163">
        <f t="shared" si="0"/>
        <v>0.4783517226533871</v>
      </c>
      <c r="P15" s="28"/>
    </row>
    <row r="16" spans="2:16" x14ac:dyDescent="0.25">
      <c r="B16" s="43" t="s">
        <v>114</v>
      </c>
      <c r="C16" s="134">
        <v>0.15</v>
      </c>
      <c r="D16" s="134">
        <v>0.15</v>
      </c>
      <c r="E16" s="134">
        <v>0.15</v>
      </c>
      <c r="F16" s="134">
        <v>0.15</v>
      </c>
      <c r="G16" s="135">
        <v>0.15</v>
      </c>
      <c r="H16" s="136"/>
      <c r="I16" s="134">
        <f>C16</f>
        <v>0.15</v>
      </c>
      <c r="J16" s="134">
        <f>D16</f>
        <v>0.15</v>
      </c>
      <c r="K16" s="134">
        <f>E16</f>
        <v>0.15</v>
      </c>
      <c r="L16" s="134">
        <f>F16</f>
        <v>0.15</v>
      </c>
      <c r="M16" s="135">
        <f>G16</f>
        <v>0.15</v>
      </c>
      <c r="N16" s="56"/>
      <c r="O16" s="164">
        <f t="shared" si="0"/>
        <v>0</v>
      </c>
      <c r="P16" s="28"/>
    </row>
    <row r="17" spans="2:16" ht="12" thickBot="1" x14ac:dyDescent="0.3">
      <c r="B17" s="14" t="s">
        <v>64</v>
      </c>
      <c r="C17" s="32">
        <f>C14+C15</f>
        <v>110.45070000000001</v>
      </c>
      <c r="D17" s="32">
        <f t="shared" ref="D17:G17" si="12">D14+D15</f>
        <v>946.11831082799995</v>
      </c>
      <c r="E17" s="32">
        <f t="shared" si="12"/>
        <v>1265.7788704413551</v>
      </c>
      <c r="F17" s="32">
        <f t="shared" si="12"/>
        <v>454.17725160789922</v>
      </c>
      <c r="G17" s="75">
        <f t="shared" si="12"/>
        <v>2776.5251328772533</v>
      </c>
      <c r="H17" s="28"/>
      <c r="I17" s="32">
        <f t="shared" ref="I17:M17" si="13">I14+I15</f>
        <v>292.07815961936831</v>
      </c>
      <c r="J17" s="32">
        <f t="shared" si="13"/>
        <v>1367.1131353129267</v>
      </c>
      <c r="K17" s="32">
        <f t="shared" si="13"/>
        <v>1753.8334803609027</v>
      </c>
      <c r="L17" s="32">
        <f t="shared" si="13"/>
        <v>691.65593788631509</v>
      </c>
      <c r="M17" s="75">
        <f t="shared" si="13"/>
        <v>4104.6807131795113</v>
      </c>
      <c r="N17" s="28"/>
      <c r="O17" s="195">
        <f t="shared" si="0"/>
        <v>0.47835172265338688</v>
      </c>
      <c r="P17" s="28"/>
    </row>
  </sheetData>
  <mergeCells count="2">
    <mergeCell ref="C4:G4"/>
    <mergeCell ref="I4:O4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M41"/>
  <sheetViews>
    <sheetView showGridLines="0" zoomScaleNormal="100" workbookViewId="0">
      <selection activeCell="N6" sqref="N6"/>
    </sheetView>
  </sheetViews>
  <sheetFormatPr defaultColWidth="9.26953125" defaultRowHeight="11.5" outlineLevelRow="1" x14ac:dyDescent="0.25"/>
  <cols>
    <col min="1" max="1" width="2" style="2" customWidth="1"/>
    <col min="2" max="2" width="21.6328125" style="2" bestFit="1" customWidth="1"/>
    <col min="3" max="6" width="8.6328125" style="2" customWidth="1"/>
    <col min="7" max="7" width="3.54296875" style="2" customWidth="1"/>
    <col min="8" max="11" width="8.6328125" style="2" customWidth="1"/>
    <col min="12" max="12" width="3.6328125" style="2" customWidth="1"/>
    <col min="13" max="13" width="8.453125" style="79" customWidth="1"/>
    <col min="14" max="16384" width="9.26953125" style="2"/>
  </cols>
  <sheetData>
    <row r="1" spans="2:13" ht="15.5" x14ac:dyDescent="0.35">
      <c r="B1" s="211" t="s">
        <v>66</v>
      </c>
      <c r="C1" s="58"/>
      <c r="D1" s="58"/>
      <c r="E1" s="58"/>
      <c r="F1" s="58"/>
    </row>
    <row r="2" spans="2:13" ht="15.5" x14ac:dyDescent="0.35">
      <c r="B2" s="211"/>
      <c r="C2" s="58"/>
      <c r="D2" s="58"/>
      <c r="E2" s="58"/>
      <c r="F2" s="58"/>
    </row>
    <row r="3" spans="2:13" x14ac:dyDescent="0.25">
      <c r="B3" s="58"/>
      <c r="C3" s="219" t="s">
        <v>42</v>
      </c>
      <c r="D3" s="219"/>
      <c r="E3" s="219"/>
      <c r="F3" s="219"/>
      <c r="H3" s="219" t="s">
        <v>98</v>
      </c>
      <c r="I3" s="219"/>
      <c r="J3" s="219"/>
      <c r="K3" s="219"/>
      <c r="L3" s="219"/>
      <c r="M3" s="219"/>
    </row>
    <row r="4" spans="2:13" ht="12" thickBot="1" x14ac:dyDescent="0.3">
      <c r="B4" s="212" t="s">
        <v>2</v>
      </c>
      <c r="C4" s="8" t="s">
        <v>3</v>
      </c>
      <c r="D4" s="8" t="s">
        <v>4</v>
      </c>
      <c r="E4" s="8" t="s">
        <v>5</v>
      </c>
      <c r="F4" s="8" t="s">
        <v>6</v>
      </c>
      <c r="H4" s="8" t="s">
        <v>3</v>
      </c>
      <c r="I4" s="8" t="s">
        <v>4</v>
      </c>
      <c r="J4" s="8" t="s">
        <v>5</v>
      </c>
      <c r="K4" s="8" t="s">
        <v>6</v>
      </c>
      <c r="M4" s="81" t="s">
        <v>12</v>
      </c>
    </row>
    <row r="5" spans="2:13" x14ac:dyDescent="0.25">
      <c r="B5" s="213"/>
      <c r="C5" s="105"/>
      <c r="D5" s="105"/>
      <c r="E5" s="105"/>
      <c r="F5" s="105"/>
      <c r="H5" s="19"/>
      <c r="I5" s="19"/>
      <c r="J5" s="19"/>
      <c r="K5" s="19"/>
    </row>
    <row r="6" spans="2:13" x14ac:dyDescent="0.25">
      <c r="B6" s="213" t="s">
        <v>116</v>
      </c>
      <c r="C6" s="105"/>
      <c r="D6" s="105"/>
      <c r="E6" s="105"/>
      <c r="F6" s="105"/>
      <c r="H6" s="19"/>
      <c r="I6" s="19"/>
      <c r="J6" s="19"/>
      <c r="K6" s="19"/>
    </row>
    <row r="7" spans="2:13" x14ac:dyDescent="0.25">
      <c r="B7" s="58" t="s">
        <v>67</v>
      </c>
      <c r="C7" s="56">
        <f>'Cash Flow Statement'!C29</f>
        <v>866.25869999999998</v>
      </c>
      <c r="D7" s="56">
        <f>'Cash Flow Statement'!D26+C7</f>
        <v>972.08886737022226</v>
      </c>
      <c r="E7" s="56">
        <f>'Cash Flow Statement'!E26+D7</f>
        <v>1893.7894588609636</v>
      </c>
      <c r="F7" s="56">
        <f>'Cash Flow Statement'!F26+E7</f>
        <v>2932.2009024769986</v>
      </c>
      <c r="G7" s="28"/>
      <c r="H7" s="28">
        <f>'Cash Flow Statement'!I26+F7</f>
        <v>3222.4506038211925</v>
      </c>
      <c r="I7" s="28">
        <f>'Cash Flow Statement'!J26+'Balance Sheet'!H7</f>
        <v>3578.007826129804</v>
      </c>
      <c r="J7" s="28">
        <f>'Cash Flow Statement'!K26+'Balance Sheet'!I7</f>
        <v>4929.9102617917124</v>
      </c>
      <c r="K7" s="28">
        <f>'Cash Flow Statement'!L26+'Balance Sheet'!J7</f>
        <v>6353.7340634156153</v>
      </c>
      <c r="M7" s="143">
        <f>K7/F7</f>
        <v>2.1668822412707978</v>
      </c>
    </row>
    <row r="8" spans="2:13" x14ac:dyDescent="0.25">
      <c r="B8" s="58" t="s">
        <v>50</v>
      </c>
      <c r="C8" s="56">
        <f>'Working Capital'!C10</f>
        <v>650</v>
      </c>
      <c r="D8" s="56">
        <f>'Working Capital'!D10</f>
        <v>1520</v>
      </c>
      <c r="E8" s="56">
        <f>'Working Capital'!E10</f>
        <v>1640</v>
      </c>
      <c r="F8" s="56">
        <f>'Working Capital'!F10</f>
        <v>776.66666666666652</v>
      </c>
      <c r="G8" s="28"/>
      <c r="H8" s="28">
        <f>'Working Capital'!I10</f>
        <v>782.22222222222217</v>
      </c>
      <c r="I8" s="28">
        <f>'Working Capital'!J10</f>
        <v>1832.1777777777777</v>
      </c>
      <c r="J8" s="28">
        <f>'Working Capital'!K10</f>
        <v>1976.8888888888885</v>
      </c>
      <c r="K8" s="28">
        <f>'Working Capital'!L10</f>
        <v>935.11111111111097</v>
      </c>
      <c r="M8" s="143">
        <f t="shared" ref="M8:M9" si="0">K8/F8</f>
        <v>1.2040057224606582</v>
      </c>
    </row>
    <row r="9" spans="2:13" x14ac:dyDescent="0.25">
      <c r="B9" s="58" t="s">
        <v>51</v>
      </c>
      <c r="C9" s="56">
        <f>'Working Capital'!C16</f>
        <v>52</v>
      </c>
      <c r="D9" s="56">
        <f>'Working Capital'!D16</f>
        <v>121.6</v>
      </c>
      <c r="E9" s="56">
        <f>'Working Capital'!E16</f>
        <v>131.19999999999999</v>
      </c>
      <c r="F9" s="56">
        <f>'Working Capital'!F16</f>
        <v>62.133333333333326</v>
      </c>
      <c r="G9" s="28"/>
      <c r="H9" s="28">
        <f>'Working Capital'!I16</f>
        <v>58.666666666666657</v>
      </c>
      <c r="I9" s="28">
        <f>'Working Capital'!J16</f>
        <v>137.41333333333333</v>
      </c>
      <c r="J9" s="28">
        <f>'Working Capital'!K16</f>
        <v>148.26666666666665</v>
      </c>
      <c r="K9" s="28">
        <f>'Working Capital'!L16</f>
        <v>70.133333333333326</v>
      </c>
      <c r="M9" s="143">
        <f t="shared" si="0"/>
        <v>1.1287553648068669</v>
      </c>
    </row>
    <row r="10" spans="2:13" x14ac:dyDescent="0.25">
      <c r="B10" s="58"/>
      <c r="C10" s="56"/>
      <c r="D10" s="56"/>
      <c r="E10" s="56"/>
      <c r="F10" s="56"/>
      <c r="G10" s="28"/>
      <c r="H10" s="28"/>
      <c r="I10" s="28"/>
      <c r="J10" s="28"/>
      <c r="K10" s="28"/>
      <c r="M10" s="143"/>
    </row>
    <row r="11" spans="2:13" x14ac:dyDescent="0.25">
      <c r="B11" s="213" t="s">
        <v>117</v>
      </c>
      <c r="C11" s="56"/>
      <c r="D11" s="56"/>
      <c r="E11" s="56"/>
      <c r="F11" s="56"/>
      <c r="G11" s="28"/>
      <c r="H11" s="28"/>
      <c r="I11" s="28"/>
      <c r="J11" s="28"/>
      <c r="K11" s="28"/>
    </row>
    <row r="12" spans="2:13" x14ac:dyDescent="0.25">
      <c r="B12" s="58" t="s">
        <v>56</v>
      </c>
      <c r="C12" s="56">
        <f>'Fixed Assets'!C16</f>
        <v>1047.5</v>
      </c>
      <c r="D12" s="56">
        <f>'Fixed Assets'!D16</f>
        <v>1223.125</v>
      </c>
      <c r="E12" s="56">
        <f>'Fixed Assets'!E16</f>
        <v>1407.96875</v>
      </c>
      <c r="F12" s="56">
        <f>'Fixed Assets'!F16</f>
        <v>1454.0703125</v>
      </c>
      <c r="G12" s="28"/>
      <c r="H12" s="28">
        <f>'Fixed Assets'!I16</f>
        <v>1498.7001302083333</v>
      </c>
      <c r="I12" s="28">
        <f>'Fixed Assets'!J16</f>
        <v>1698.5917903645832</v>
      </c>
      <c r="J12" s="28">
        <f>'Fixed Assets'!K16</f>
        <v>1910.1955341796872</v>
      </c>
      <c r="K12" s="28">
        <f>'Fixed Assets'!L16</f>
        <v>1954.9524241373695</v>
      </c>
      <c r="M12" s="143">
        <f>K12/F12</f>
        <v>1.3444689760402282</v>
      </c>
    </row>
    <row r="13" spans="2:13" x14ac:dyDescent="0.25">
      <c r="B13" s="58"/>
      <c r="C13" s="56"/>
      <c r="D13" s="56"/>
      <c r="E13" s="56"/>
      <c r="F13" s="56"/>
      <c r="G13" s="28"/>
      <c r="H13" s="28"/>
      <c r="I13" s="28"/>
      <c r="J13" s="28"/>
      <c r="K13" s="28"/>
      <c r="M13" s="143"/>
    </row>
    <row r="14" spans="2:13" ht="12" thickBot="1" x14ac:dyDescent="0.3">
      <c r="B14" s="214" t="s">
        <v>68</v>
      </c>
      <c r="C14" s="215">
        <f>C12+C9+C8+C7</f>
        <v>2615.7586999999999</v>
      </c>
      <c r="D14" s="215">
        <f>D12+D9+D8+D7</f>
        <v>3836.8138673702224</v>
      </c>
      <c r="E14" s="215">
        <f>E12+E9+E8+E7</f>
        <v>5072.9582088609632</v>
      </c>
      <c r="F14" s="215">
        <f>F12+F9+F8+F7</f>
        <v>5225.0712149769988</v>
      </c>
      <c r="G14" s="28"/>
      <c r="H14" s="32">
        <f>H12+H9+H8+H7</f>
        <v>5562.0396229184153</v>
      </c>
      <c r="I14" s="32">
        <f>I12+I9+I8+I7</f>
        <v>7246.1907276054981</v>
      </c>
      <c r="J14" s="32">
        <f>J12+J9+J8+J7</f>
        <v>8965.261351526955</v>
      </c>
      <c r="K14" s="32">
        <f>K12+K9+K8+K7</f>
        <v>9313.9309319974291</v>
      </c>
      <c r="M14" s="165">
        <f>K14/F14</f>
        <v>1.7825462178008669</v>
      </c>
    </row>
    <row r="15" spans="2:13" x14ac:dyDescent="0.25">
      <c r="B15" s="58"/>
      <c r="C15" s="56"/>
      <c r="D15" s="56"/>
      <c r="E15" s="56"/>
      <c r="F15" s="56"/>
      <c r="G15" s="28"/>
      <c r="H15" s="28"/>
      <c r="I15" s="28"/>
      <c r="J15" s="28"/>
      <c r="K15" s="28"/>
    </row>
    <row r="16" spans="2:13" x14ac:dyDescent="0.25">
      <c r="B16" s="213" t="s">
        <v>118</v>
      </c>
      <c r="C16" s="56"/>
      <c r="D16" s="56"/>
      <c r="E16" s="56"/>
      <c r="F16" s="56"/>
      <c r="G16" s="28"/>
      <c r="H16" s="28"/>
      <c r="I16" s="28"/>
      <c r="J16" s="28"/>
      <c r="K16" s="28"/>
    </row>
    <row r="17" spans="2:13" x14ac:dyDescent="0.25">
      <c r="B17" s="58" t="s">
        <v>162</v>
      </c>
      <c r="C17" s="56">
        <f>'Working Capital'!C13</f>
        <v>288.16666666666669</v>
      </c>
      <c r="D17" s="56">
        <f>'Working Capital'!D13</f>
        <v>571.26888888888891</v>
      </c>
      <c r="E17" s="56">
        <f>'Working Capital'!E13</f>
        <v>550.30222222222233</v>
      </c>
      <c r="F17" s="56">
        <f>'Working Capital'!F13</f>
        <v>257.43925925925919</v>
      </c>
      <c r="G17" s="28"/>
      <c r="H17" s="28">
        <f>'Working Capital'!I13</f>
        <v>312.09703703703701</v>
      </c>
      <c r="I17" s="28">
        <f>'Working Capital'!J13</f>
        <v>639.50362962962959</v>
      </c>
      <c r="J17" s="28">
        <f>'Working Capital'!K13</f>
        <v>615.74748148148149</v>
      </c>
      <c r="K17" s="28">
        <f>'Working Capital'!L13</f>
        <v>284.44518518518515</v>
      </c>
      <c r="M17" s="143">
        <f t="shared" ref="M17" si="1">K17/F17</f>
        <v>1.1049021272187904</v>
      </c>
    </row>
    <row r="18" spans="2:13" x14ac:dyDescent="0.25">
      <c r="B18" s="58" t="s">
        <v>69</v>
      </c>
      <c r="C18" s="56">
        <v>0</v>
      </c>
      <c r="D18" s="56">
        <v>0</v>
      </c>
      <c r="E18" s="56">
        <v>0</v>
      </c>
      <c r="F18" s="56">
        <v>0</v>
      </c>
      <c r="G18" s="28"/>
      <c r="H18" s="28">
        <v>0</v>
      </c>
      <c r="I18" s="28">
        <v>0</v>
      </c>
      <c r="J18" s="28">
        <v>0</v>
      </c>
      <c r="K18" s="28">
        <v>0</v>
      </c>
      <c r="M18" s="143">
        <v>0</v>
      </c>
    </row>
    <row r="19" spans="2:13" x14ac:dyDescent="0.25">
      <c r="B19" s="58"/>
      <c r="C19" s="56"/>
      <c r="D19" s="56"/>
      <c r="E19" s="56"/>
      <c r="F19" s="56"/>
      <c r="G19" s="28"/>
      <c r="H19" s="28"/>
      <c r="I19" s="28"/>
      <c r="J19" s="28"/>
      <c r="K19" s="28"/>
      <c r="M19" s="143"/>
    </row>
    <row r="20" spans="2:13" x14ac:dyDescent="0.25">
      <c r="B20" s="213" t="s">
        <v>119</v>
      </c>
      <c r="C20" s="56"/>
      <c r="D20" s="56"/>
      <c r="E20" s="56"/>
      <c r="F20" s="56"/>
      <c r="G20" s="28"/>
      <c r="H20" s="28"/>
      <c r="I20" s="28"/>
      <c r="J20" s="28"/>
      <c r="K20" s="28"/>
    </row>
    <row r="21" spans="2:13" x14ac:dyDescent="0.25">
      <c r="B21" s="58" t="s">
        <v>101</v>
      </c>
      <c r="C21" s="56">
        <f>'Loan repayment schedule'!C14</f>
        <v>192.30799999999999</v>
      </c>
      <c r="D21" s="56">
        <f>'Loan repayment schedule'!D14</f>
        <v>184.14263431999998</v>
      </c>
      <c r="E21" s="56">
        <f>'Loan repayment schedule'!E14</f>
        <v>175.4747720360528</v>
      </c>
      <c r="F21" s="56">
        <f>'Loan repayment schedule'!F14</f>
        <v>166.27348950715148</v>
      </c>
      <c r="G21" s="28"/>
      <c r="H21" s="28">
        <f>'Loan repayment schedule'!H14</f>
        <v>156.5059600514216</v>
      </c>
      <c r="I21" s="28">
        <f>'Loan repayment schedule'!I14</f>
        <v>146.13733683298608</v>
      </c>
      <c r="J21" s="28">
        <f>'Loan repayment schedule'!J14</f>
        <v>135.13062854168805</v>
      </c>
      <c r="K21" s="109">
        <f>'Loan repayment schedule'!K14</f>
        <v>123.44656742214354</v>
      </c>
      <c r="M21" s="143">
        <f t="shared" ref="M21" si="2">K21/F21</f>
        <v>0.74243084563901007</v>
      </c>
    </row>
    <row r="22" spans="2:13" x14ac:dyDescent="0.25">
      <c r="B22" s="58"/>
      <c r="C22" s="56"/>
      <c r="D22" s="56"/>
      <c r="E22" s="56"/>
      <c r="F22" s="56"/>
      <c r="G22" s="28"/>
      <c r="H22" s="28"/>
      <c r="I22" s="28"/>
      <c r="J22" s="28"/>
      <c r="K22" s="109"/>
      <c r="M22" s="143"/>
    </row>
    <row r="23" spans="2:13" x14ac:dyDescent="0.25">
      <c r="B23" s="213" t="s">
        <v>70</v>
      </c>
      <c r="C23" s="56">
        <f>C25-SUM(C17:C21)</f>
        <v>2135.2840333333334</v>
      </c>
      <c r="D23" s="56">
        <f>C23+'Income Statement'!D17</f>
        <v>3081.4023441613335</v>
      </c>
      <c r="E23" s="56">
        <f>D23+'Income Statement'!E17</f>
        <v>4347.1812146026887</v>
      </c>
      <c r="F23" s="56">
        <f>E23+'Income Statement'!F17</f>
        <v>4801.3584662105877</v>
      </c>
      <c r="G23" s="28"/>
      <c r="H23" s="28">
        <f>F23+'Income Statement'!I17</f>
        <v>5093.436625829956</v>
      </c>
      <c r="I23" s="28">
        <f>H23+'Income Statement'!J17</f>
        <v>6460.5497611428827</v>
      </c>
      <c r="J23" s="28">
        <f>I23+'Income Statement'!K17</f>
        <v>8214.383241503785</v>
      </c>
      <c r="K23" s="28">
        <f>J23+'Income Statement'!L17</f>
        <v>8906.0391793900999</v>
      </c>
      <c r="M23" s="143">
        <f t="shared" ref="M23" si="3">K23/F23</f>
        <v>1.8548998667910501</v>
      </c>
    </row>
    <row r="24" spans="2:13" x14ac:dyDescent="0.25">
      <c r="B24" s="213"/>
      <c r="C24" s="56"/>
      <c r="D24" s="56"/>
      <c r="E24" s="56"/>
      <c r="F24" s="56"/>
      <c r="G24" s="28"/>
      <c r="H24" s="28"/>
      <c r="I24" s="28"/>
      <c r="J24" s="28"/>
      <c r="K24" s="28"/>
      <c r="M24" s="143"/>
    </row>
    <row r="25" spans="2:13" ht="12" thickBot="1" x14ac:dyDescent="0.3">
      <c r="B25" s="214" t="s">
        <v>78</v>
      </c>
      <c r="C25" s="215">
        <f>C14</f>
        <v>2615.7586999999999</v>
      </c>
      <c r="D25" s="215">
        <f>D23+D21+D18+D17</f>
        <v>3836.8138673702224</v>
      </c>
      <c r="E25" s="215">
        <f>E23+E21+E18+E17</f>
        <v>5072.9582088609641</v>
      </c>
      <c r="F25" s="215">
        <f>F23+F21+F18+F17</f>
        <v>5225.0712149769988</v>
      </c>
      <c r="G25" s="193"/>
      <c r="H25" s="32">
        <f>H23+H21+H18+H17</f>
        <v>5562.0396229184144</v>
      </c>
      <c r="I25" s="32">
        <f>I23+I21+I18+I17</f>
        <v>7246.1907276054981</v>
      </c>
      <c r="J25" s="32">
        <f>J23+J21+J18+J17</f>
        <v>8965.261351526955</v>
      </c>
      <c r="K25" s="32">
        <f>K23+K21+K18+K17</f>
        <v>9313.9309319974273</v>
      </c>
      <c r="M25" s="165">
        <f t="shared" ref="M25" si="4">K25/F25</f>
        <v>1.7825462178008664</v>
      </c>
    </row>
    <row r="26" spans="2:13" x14ac:dyDescent="0.25">
      <c r="C26" s="28"/>
      <c r="D26" s="28"/>
      <c r="E26" s="28"/>
      <c r="F26" s="28"/>
      <c r="G26" s="193"/>
      <c r="H26" s="28"/>
      <c r="I26" s="28"/>
      <c r="J26" s="28"/>
      <c r="K26" s="28"/>
    </row>
    <row r="27" spans="2:13" hidden="1" outlineLevel="1" x14ac:dyDescent="0.25">
      <c r="B27" s="160" t="s">
        <v>77</v>
      </c>
      <c r="C27" s="65">
        <f>C14-C25</f>
        <v>0</v>
      </c>
      <c r="D27" s="65">
        <f>D14-D25</f>
        <v>0</v>
      </c>
      <c r="E27" s="65">
        <f>E14-E25</f>
        <v>0</v>
      </c>
      <c r="F27" s="65">
        <f>F14-F25</f>
        <v>0</v>
      </c>
      <c r="G27" s="193"/>
      <c r="H27" s="65">
        <f>H14-H25</f>
        <v>0</v>
      </c>
      <c r="I27" s="65">
        <f>I14-I25</f>
        <v>0</v>
      </c>
      <c r="J27" s="65">
        <f>J14-J25</f>
        <v>0</v>
      </c>
      <c r="K27" s="65">
        <f>K14-K25</f>
        <v>0</v>
      </c>
      <c r="L27" s="48"/>
    </row>
    <row r="28" spans="2:13" s="58" customFormat="1" outlineLevel="1" x14ac:dyDescent="0.25">
      <c r="B28" s="55"/>
      <c r="C28" s="56"/>
      <c r="D28" s="56"/>
      <c r="E28" s="56"/>
      <c r="F28" s="56"/>
      <c r="G28" s="193"/>
      <c r="H28" s="56"/>
      <c r="I28" s="56"/>
      <c r="J28" s="56"/>
      <c r="K28" s="56"/>
      <c r="L28" s="57"/>
      <c r="M28" s="204"/>
    </row>
    <row r="29" spans="2:13" hidden="1" x14ac:dyDescent="0.25">
      <c r="B29" s="2" t="s">
        <v>79</v>
      </c>
      <c r="C29" s="51"/>
      <c r="D29" s="51">
        <f>D23-C23</f>
        <v>946.11831082800018</v>
      </c>
      <c r="E29" s="51">
        <f>E23-D23</f>
        <v>1265.7788704413551</v>
      </c>
      <c r="F29" s="51">
        <f>F23-E23</f>
        <v>454.17725160789905</v>
      </c>
      <c r="G29" s="194"/>
      <c r="H29" s="51">
        <f>H23-F23</f>
        <v>292.07815961936831</v>
      </c>
      <c r="I29" s="51">
        <f>I23-H23</f>
        <v>1367.1131353129267</v>
      </c>
      <c r="J29" s="51">
        <f>J23-I23</f>
        <v>1753.8334803609023</v>
      </c>
      <c r="K29" s="51">
        <f>K23-J23</f>
        <v>691.65593788631486</v>
      </c>
      <c r="L29" s="48"/>
    </row>
    <row r="30" spans="2:13" hidden="1" x14ac:dyDescent="0.25">
      <c r="B30" s="2" t="s">
        <v>64</v>
      </c>
      <c r="C30" s="51"/>
      <c r="D30" s="51">
        <f>'Income Statement'!D17</f>
        <v>946.11831082799995</v>
      </c>
      <c r="E30" s="51">
        <f>'Income Statement'!E17</f>
        <v>1265.7788704413551</v>
      </c>
      <c r="F30" s="51">
        <f>'Income Statement'!F17</f>
        <v>454.17725160789922</v>
      </c>
      <c r="G30" s="194"/>
      <c r="H30" s="51">
        <f>'Income Statement'!I17</f>
        <v>292.07815961936831</v>
      </c>
      <c r="I30" s="51">
        <f>'Income Statement'!J17</f>
        <v>1367.1131353129267</v>
      </c>
      <c r="J30" s="51">
        <f>'Income Statement'!K17</f>
        <v>1753.8334803609027</v>
      </c>
      <c r="K30" s="51">
        <f>'Income Statement'!L17</f>
        <v>691.65593788631509</v>
      </c>
      <c r="L30" s="48"/>
    </row>
    <row r="31" spans="2:13" hidden="1" x14ac:dyDescent="0.25">
      <c r="B31" s="36" t="s">
        <v>77</v>
      </c>
      <c r="C31" s="65"/>
      <c r="D31" s="65">
        <f>D29-D30</f>
        <v>0</v>
      </c>
      <c r="E31" s="65">
        <f t="shared" ref="E31:F31" si="5">E29-E30</f>
        <v>0</v>
      </c>
      <c r="F31" s="65">
        <f t="shared" si="5"/>
        <v>0</v>
      </c>
      <c r="G31" s="193"/>
      <c r="H31" s="65">
        <f t="shared" ref="H31" si="6">H29-H30</f>
        <v>0</v>
      </c>
      <c r="I31" s="65">
        <f t="shared" ref="I31" si="7">I29-I30</f>
        <v>0</v>
      </c>
      <c r="J31" s="65">
        <f t="shared" ref="J31" si="8">J29-J30</f>
        <v>0</v>
      </c>
      <c r="K31" s="65">
        <f t="shared" ref="K31" si="9">K29-K30</f>
        <v>0</v>
      </c>
    </row>
    <row r="32" spans="2:13" s="58" customFormat="1" x14ac:dyDescent="0.25">
      <c r="D32" s="56"/>
      <c r="E32" s="56"/>
      <c r="F32" s="56"/>
      <c r="G32" s="180"/>
      <c r="H32" s="56"/>
      <c r="I32" s="56"/>
      <c r="J32" s="56"/>
      <c r="K32" s="56"/>
      <c r="M32" s="204"/>
    </row>
    <row r="33" spans="2:11" hidden="1" x14ac:dyDescent="0.25">
      <c r="B33" s="2" t="s">
        <v>80</v>
      </c>
      <c r="D33" s="28">
        <f>D12-C12</f>
        <v>175.625</v>
      </c>
      <c r="E33" s="28">
        <f>E12-D12</f>
        <v>184.84375</v>
      </c>
      <c r="F33" s="28">
        <f>F12-E12</f>
        <v>46.1015625</v>
      </c>
      <c r="G33" s="193"/>
      <c r="H33" s="28">
        <f>H12-F12</f>
        <v>44.629817708333348</v>
      </c>
      <c r="I33" s="28">
        <f>I12-H12</f>
        <v>199.89166015624983</v>
      </c>
      <c r="J33" s="28">
        <f>J12-I12</f>
        <v>211.60374381510405</v>
      </c>
      <c r="K33" s="28">
        <f>K12-J12</f>
        <v>44.756889957682233</v>
      </c>
    </row>
    <row r="34" spans="2:11" hidden="1" x14ac:dyDescent="0.25">
      <c r="B34" s="2" t="s">
        <v>57</v>
      </c>
      <c r="D34" s="28">
        <f>-'Income Statement'!D11</f>
        <v>52.375</v>
      </c>
      <c r="E34" s="28">
        <f>-'Income Statement'!E11</f>
        <v>61.15625</v>
      </c>
      <c r="F34" s="28">
        <f>-'Income Statement'!F11</f>
        <v>70.3984375</v>
      </c>
      <c r="G34" s="180"/>
      <c r="H34" s="28">
        <f>-'Income Statement'!I11</f>
        <v>72.703515625000009</v>
      </c>
      <c r="I34" s="28">
        <f>-'Income Statement'!J11</f>
        <v>74.93500651041667</v>
      </c>
      <c r="J34" s="28">
        <f>-'Income Statement'!K11</f>
        <v>84.929589518229164</v>
      </c>
      <c r="K34" s="28">
        <f>-'Income Statement'!L11</f>
        <v>95.509776708984361</v>
      </c>
    </row>
    <row r="35" spans="2:11" hidden="1" x14ac:dyDescent="0.25">
      <c r="B35" s="2" t="s">
        <v>81</v>
      </c>
      <c r="D35" s="28">
        <f>D33+D34</f>
        <v>228</v>
      </c>
      <c r="E35" s="28">
        <f t="shared" ref="E35:K35" si="10">E33+E34</f>
        <v>246</v>
      </c>
      <c r="F35" s="28">
        <f t="shared" si="10"/>
        <v>116.5</v>
      </c>
      <c r="G35" s="193"/>
      <c r="H35" s="28">
        <f t="shared" si="10"/>
        <v>117.33333333333336</v>
      </c>
      <c r="I35" s="28">
        <f t="shared" si="10"/>
        <v>274.82666666666648</v>
      </c>
      <c r="J35" s="28">
        <f t="shared" si="10"/>
        <v>296.53333333333319</v>
      </c>
      <c r="K35" s="28">
        <f t="shared" si="10"/>
        <v>140.26666666666659</v>
      </c>
    </row>
    <row r="36" spans="2:11" hidden="1" x14ac:dyDescent="0.25">
      <c r="B36" s="36" t="s">
        <v>77</v>
      </c>
      <c r="C36" s="36"/>
      <c r="D36" s="65">
        <f>D35+'Cash Flow Statement'!D20</f>
        <v>0</v>
      </c>
      <c r="E36" s="65">
        <f>E35+'Cash Flow Statement'!E20</f>
        <v>0</v>
      </c>
      <c r="F36" s="65">
        <f>F35+'Cash Flow Statement'!F20</f>
        <v>0</v>
      </c>
      <c r="G36" s="180"/>
      <c r="H36" s="65">
        <f>H35+'Cash Flow Statement'!I20</f>
        <v>0</v>
      </c>
      <c r="I36" s="65">
        <f>I35+'Cash Flow Statement'!J20</f>
        <v>0</v>
      </c>
      <c r="J36" s="65">
        <f>J35+'Cash Flow Statement'!K20</f>
        <v>0</v>
      </c>
      <c r="K36" s="65">
        <f>K35+'Cash Flow Statement'!L20</f>
        <v>0</v>
      </c>
    </row>
    <row r="37" spans="2:11" hidden="1" x14ac:dyDescent="0.25">
      <c r="G37" s="180"/>
    </row>
    <row r="38" spans="2:11" hidden="1" x14ac:dyDescent="0.25">
      <c r="G38" s="180"/>
    </row>
    <row r="39" spans="2:11" x14ac:dyDescent="0.25">
      <c r="G39" s="58"/>
    </row>
    <row r="40" spans="2:11" x14ac:dyDescent="0.25">
      <c r="G40" s="58"/>
    </row>
    <row r="41" spans="2:11" x14ac:dyDescent="0.25">
      <c r="G41" s="58"/>
    </row>
  </sheetData>
  <mergeCells count="2">
    <mergeCell ref="C3:F3"/>
    <mergeCell ref="H3:M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35"/>
  <sheetViews>
    <sheetView showGridLines="0" zoomScaleNormal="100" workbookViewId="0">
      <selection activeCell="B11" sqref="B11"/>
    </sheetView>
  </sheetViews>
  <sheetFormatPr defaultColWidth="9.26953125" defaultRowHeight="11.5" outlineLevelRow="1" x14ac:dyDescent="0.25"/>
  <cols>
    <col min="1" max="1" width="2" style="2" customWidth="1"/>
    <col min="2" max="2" width="43.453125" style="2" customWidth="1"/>
    <col min="3" max="6" width="9.26953125" style="2" customWidth="1"/>
    <col min="7" max="7" width="9.1796875" style="79" customWidth="1"/>
    <col min="8" max="8" width="1.7265625" style="2" customWidth="1"/>
    <col min="9" max="12" width="9.26953125" style="2" customWidth="1"/>
    <col min="13" max="13" width="7.26953125" style="79" customWidth="1"/>
    <col min="14" max="14" width="1.54296875" style="2" customWidth="1"/>
    <col min="15" max="15" width="10.1796875" style="2" customWidth="1"/>
    <col min="16" max="16" width="2.26953125" style="2" customWidth="1"/>
    <col min="17" max="16384" width="9.26953125" style="2"/>
  </cols>
  <sheetData>
    <row r="1" spans="2:15" ht="15.5" x14ac:dyDescent="0.35">
      <c r="B1" s="3" t="s">
        <v>115</v>
      </c>
    </row>
    <row r="4" spans="2:15" x14ac:dyDescent="0.25">
      <c r="C4" s="219" t="s">
        <v>42</v>
      </c>
      <c r="D4" s="219"/>
      <c r="E4" s="219"/>
      <c r="F4" s="219"/>
      <c r="G4" s="80"/>
      <c r="I4" s="219" t="s">
        <v>98</v>
      </c>
      <c r="J4" s="219"/>
      <c r="K4" s="219"/>
      <c r="L4" s="219"/>
      <c r="M4" s="219"/>
      <c r="N4" s="219"/>
      <c r="O4" s="219"/>
    </row>
    <row r="5" spans="2:15" ht="12" thickBot="1" x14ac:dyDescent="0.3"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I5" s="8" t="s">
        <v>3</v>
      </c>
      <c r="J5" s="8" t="s">
        <v>4</v>
      </c>
      <c r="K5" s="8" t="s">
        <v>5</v>
      </c>
      <c r="L5" s="8" t="s">
        <v>6</v>
      </c>
      <c r="M5" s="8" t="s">
        <v>7</v>
      </c>
      <c r="O5" s="17" t="s">
        <v>12</v>
      </c>
    </row>
    <row r="6" spans="2:15" x14ac:dyDescent="0.25">
      <c r="B6" s="24"/>
      <c r="C6" s="19"/>
      <c r="D6" s="19"/>
      <c r="E6" s="19"/>
      <c r="F6" s="19"/>
      <c r="G6" s="82"/>
      <c r="I6" s="19"/>
      <c r="J6" s="19"/>
      <c r="K6" s="19"/>
      <c r="L6" s="19"/>
      <c r="M6" s="82"/>
    </row>
    <row r="7" spans="2:15" outlineLevel="1" x14ac:dyDescent="0.25">
      <c r="B7" s="24" t="s">
        <v>64</v>
      </c>
      <c r="C7" s="77">
        <f>'Income Statement'!C17</f>
        <v>110.45070000000001</v>
      </c>
      <c r="D7" s="77">
        <f>'Income Statement'!D17</f>
        <v>946.11831082799995</v>
      </c>
      <c r="E7" s="77">
        <f>'Income Statement'!E17</f>
        <v>1265.7788704413551</v>
      </c>
      <c r="F7" s="77">
        <f>'Income Statement'!F17</f>
        <v>454.17725160789922</v>
      </c>
      <c r="G7" s="83">
        <f>SUM(C7:F7)</f>
        <v>2776.5251328772542</v>
      </c>
      <c r="I7" s="77">
        <f>'Income Statement'!I17</f>
        <v>292.07815961936831</v>
      </c>
      <c r="J7" s="77">
        <f>'Income Statement'!J17</f>
        <v>1367.1131353129267</v>
      </c>
      <c r="K7" s="77">
        <f>'Income Statement'!K17</f>
        <v>1753.8334803609027</v>
      </c>
      <c r="L7" s="77">
        <f>'Income Statement'!L17</f>
        <v>691.65593788631509</v>
      </c>
      <c r="M7" s="83">
        <f>SUM(I7:L7)</f>
        <v>4104.6807131795131</v>
      </c>
    </row>
    <row r="8" spans="2:15" outlineLevel="1" x14ac:dyDescent="0.25">
      <c r="B8" s="2" t="s">
        <v>107</v>
      </c>
      <c r="C8" s="78">
        <f>-'Income Statement'!C11</f>
        <v>50</v>
      </c>
      <c r="D8" s="78">
        <f>-'Income Statement'!D11</f>
        <v>52.375</v>
      </c>
      <c r="E8" s="78">
        <f>-'Income Statement'!E11</f>
        <v>61.15625</v>
      </c>
      <c r="F8" s="78">
        <f>-'Income Statement'!F11</f>
        <v>70.3984375</v>
      </c>
      <c r="G8" s="84">
        <f>SUM(C8:F8)</f>
        <v>233.9296875</v>
      </c>
      <c r="H8" s="78"/>
      <c r="I8" s="78">
        <f>-'Income Statement'!I11</f>
        <v>72.703515625000009</v>
      </c>
      <c r="J8" s="78">
        <f>-'Income Statement'!J11</f>
        <v>74.93500651041667</v>
      </c>
      <c r="K8" s="78">
        <f>-'Income Statement'!K11</f>
        <v>84.929589518229164</v>
      </c>
      <c r="L8" s="78">
        <f>-'Income Statement'!L11</f>
        <v>95.509776708984361</v>
      </c>
      <c r="M8" s="84">
        <f>SUM(I8:L8)</f>
        <v>328.07788836263023</v>
      </c>
    </row>
    <row r="9" spans="2:15" outlineLevel="1" x14ac:dyDescent="0.25">
      <c r="B9" s="2" t="s">
        <v>108</v>
      </c>
      <c r="C9" s="78">
        <f>-'Income Statement'!C13</f>
        <v>12.308</v>
      </c>
      <c r="D9" s="78">
        <f>-'Income Statement'!D13</f>
        <v>11.834634319999999</v>
      </c>
      <c r="E9" s="78">
        <f>-'Income Statement'!E13</f>
        <v>11.332137716052799</v>
      </c>
      <c r="F9" s="78">
        <f>-'Income Statement'!F13</f>
        <v>10.798717471098689</v>
      </c>
      <c r="G9" s="84">
        <f>SUM(C9:F9)</f>
        <v>46.273489507151488</v>
      </c>
      <c r="I9" s="78">
        <f>-'Income Statement'!I13</f>
        <v>10.232470544270102</v>
      </c>
      <c r="J9" s="78">
        <f>-'Income Statement'!J13</f>
        <v>9.6313767815644837</v>
      </c>
      <c r="K9" s="78">
        <f>-'Income Statement'!K13</f>
        <v>8.9932917087019622</v>
      </c>
      <c r="L9" s="78">
        <f>-'Income Statement'!L13</f>
        <v>8.3159388804554819</v>
      </c>
      <c r="M9" s="84">
        <f>SUM(I9:L9)</f>
        <v>37.173077914992028</v>
      </c>
    </row>
    <row r="10" spans="2:15" outlineLevel="1" x14ac:dyDescent="0.25">
      <c r="B10" s="2" t="s">
        <v>109</v>
      </c>
      <c r="C10" s="78">
        <f>-'Income Statement'!C15</f>
        <v>19.491299999999999</v>
      </c>
      <c r="D10" s="78">
        <f>-'Income Statement'!D15</f>
        <v>166.96205485199997</v>
      </c>
      <c r="E10" s="78">
        <f>-'Income Statement'!E15</f>
        <v>223.37274184259206</v>
      </c>
      <c r="F10" s="78">
        <f>-'Income Statement'!F15</f>
        <v>80.14892675433515</v>
      </c>
      <c r="G10" s="84">
        <f>SUM(C10:F10)</f>
        <v>489.97502344892717</v>
      </c>
      <c r="I10" s="78">
        <f>-'Income Statement'!I15</f>
        <v>51.543204638712048</v>
      </c>
      <c r="J10" s="78">
        <f>-'Income Statement'!J15</f>
        <v>241.25525917286939</v>
      </c>
      <c r="K10" s="78">
        <f>-'Income Statement'!K15</f>
        <v>309.50002594604166</v>
      </c>
      <c r="L10" s="78">
        <f>-'Income Statement'!L15</f>
        <v>122.05693021523206</v>
      </c>
      <c r="M10" s="84">
        <f>SUM(I10:L10)</f>
        <v>724.35541997285509</v>
      </c>
    </row>
    <row r="11" spans="2:15" outlineLevel="1" collapsed="1" x14ac:dyDescent="0.25">
      <c r="B11" s="12" t="s">
        <v>61</v>
      </c>
      <c r="C11" s="33">
        <f>'Income Statement'!C10</f>
        <v>192.25</v>
      </c>
      <c r="D11" s="33">
        <f>'Income Statement'!D10</f>
        <v>1177.29</v>
      </c>
      <c r="E11" s="33">
        <f>'Income Statement'!E10</f>
        <v>1561.6399999999999</v>
      </c>
      <c r="F11" s="33">
        <f>'Income Statement'!F10</f>
        <v>615.52333333333308</v>
      </c>
      <c r="G11" s="83">
        <f>SUM(C11:F11)</f>
        <v>3546.7033333333329</v>
      </c>
      <c r="H11" s="33"/>
      <c r="I11" s="33">
        <f>'Income Statement'!I10</f>
        <v>426.55735042735046</v>
      </c>
      <c r="J11" s="33">
        <f>'Income Statement'!J10</f>
        <v>1692.9347777777773</v>
      </c>
      <c r="K11" s="33">
        <f>'Income Statement'!K10</f>
        <v>2157.2563875338756</v>
      </c>
      <c r="L11" s="33">
        <f>'Income Statement'!L10</f>
        <v>917.53858369098702</v>
      </c>
      <c r="M11" s="83">
        <f>SUM(I11:L11)</f>
        <v>5194.287099429991</v>
      </c>
    </row>
    <row r="12" spans="2:15" outlineLevel="1" x14ac:dyDescent="0.25">
      <c r="B12" s="12"/>
      <c r="C12" s="33"/>
      <c r="D12" s="33"/>
      <c r="E12" s="33"/>
      <c r="F12" s="33"/>
      <c r="G12" s="83"/>
      <c r="H12" s="33"/>
      <c r="I12" s="33"/>
      <c r="J12" s="33"/>
      <c r="K12" s="33"/>
      <c r="L12" s="33"/>
      <c r="M12" s="83"/>
    </row>
    <row r="13" spans="2:15" outlineLevel="1" x14ac:dyDescent="0.25">
      <c r="B13" s="2" t="s">
        <v>71</v>
      </c>
      <c r="C13" s="28">
        <v>320</v>
      </c>
      <c r="D13" s="28">
        <f>-('Working Capital'!D10-'Working Capital'!C10)</f>
        <v>-870</v>
      </c>
      <c r="E13" s="28">
        <f>-('Working Capital'!E10-'Working Capital'!D10)</f>
        <v>-120</v>
      </c>
      <c r="F13" s="28">
        <f>-('Working Capital'!F10-'Working Capital'!E10)</f>
        <v>863.33333333333348</v>
      </c>
      <c r="G13" s="72">
        <f t="shared" ref="G13:G15" si="0">SUM(C13:F13)</f>
        <v>193.33333333333348</v>
      </c>
      <c r="H13" s="28"/>
      <c r="I13" s="28">
        <f>-('Balance Sheet'!H8-'Balance Sheet'!F8)</f>
        <v>-5.5555555555556566</v>
      </c>
      <c r="J13" s="28">
        <f>-('Balance Sheet'!I8-'Balance Sheet'!H8)</f>
        <v>-1049.9555555555555</v>
      </c>
      <c r="K13" s="28">
        <f>-('Balance Sheet'!J8-'Balance Sheet'!I8)</f>
        <v>-144.71111111111077</v>
      </c>
      <c r="L13" s="28">
        <f>-('Balance Sheet'!K8-'Balance Sheet'!J8)</f>
        <v>1041.7777777777774</v>
      </c>
      <c r="M13" s="72">
        <f t="shared" ref="M13:M15" si="1">SUM(I13:L13)</f>
        <v>-158.44444444444457</v>
      </c>
    </row>
    <row r="14" spans="2:15" outlineLevel="1" x14ac:dyDescent="0.25">
      <c r="B14" s="2" t="s">
        <v>72</v>
      </c>
      <c r="C14" s="28">
        <v>42</v>
      </c>
      <c r="D14" s="28">
        <f>-('Working Capital'!D16-'Working Capital'!C16)</f>
        <v>-69.599999999999994</v>
      </c>
      <c r="E14" s="28">
        <f>-('Working Capital'!E16-'Working Capital'!D16)</f>
        <v>-9.5999999999999943</v>
      </c>
      <c r="F14" s="28">
        <f>-('Working Capital'!F16-'Working Capital'!E16)</f>
        <v>69.066666666666663</v>
      </c>
      <c r="G14" s="72">
        <f t="shared" si="0"/>
        <v>31.866666666666674</v>
      </c>
      <c r="H14" s="28"/>
      <c r="I14" s="28">
        <f>-('Balance Sheet'!H9-'Balance Sheet'!F9)</f>
        <v>3.4666666666666686</v>
      </c>
      <c r="J14" s="28">
        <f>-('Balance Sheet'!I9-'Balance Sheet'!H9)</f>
        <v>-78.74666666666667</v>
      </c>
      <c r="K14" s="28">
        <f>-('Balance Sheet'!J9-'Balance Sheet'!I9)</f>
        <v>-10.853333333333325</v>
      </c>
      <c r="L14" s="28">
        <f>-('Balance Sheet'!K9-'Balance Sheet'!J9)</f>
        <v>78.133333333333326</v>
      </c>
      <c r="M14" s="72">
        <f t="shared" si="1"/>
        <v>-8</v>
      </c>
    </row>
    <row r="15" spans="2:15" outlineLevel="1" x14ac:dyDescent="0.25">
      <c r="B15" s="2" t="s">
        <v>176</v>
      </c>
      <c r="C15" s="28">
        <v>-186</v>
      </c>
      <c r="D15" s="28">
        <f>'Working Capital'!D13-'Working Capital'!C13</f>
        <v>283.10222222222222</v>
      </c>
      <c r="E15" s="28">
        <f>'Working Capital'!E13-'Working Capital'!D13</f>
        <v>-20.966666666666583</v>
      </c>
      <c r="F15" s="28">
        <f>'Working Capital'!F13-'Working Capital'!E13</f>
        <v>-292.86296296296314</v>
      </c>
      <c r="G15" s="72">
        <f t="shared" si="0"/>
        <v>-216.7274074074075</v>
      </c>
      <c r="H15" s="28"/>
      <c r="I15" s="28">
        <f>'Balance Sheet'!H17-'Balance Sheet'!F17</f>
        <v>54.657777777777824</v>
      </c>
      <c r="J15" s="28">
        <f>'Balance Sheet'!I17-'Balance Sheet'!H17</f>
        <v>327.40659259259257</v>
      </c>
      <c r="K15" s="28">
        <f>'Balance Sheet'!J17-'Balance Sheet'!I17</f>
        <v>-23.7561481481481</v>
      </c>
      <c r="L15" s="28">
        <f>'Balance Sheet'!K17-'Balance Sheet'!J17</f>
        <v>-331.30229629629633</v>
      </c>
      <c r="M15" s="72">
        <f t="shared" si="1"/>
        <v>27.005925925925965</v>
      </c>
    </row>
    <row r="16" spans="2:15" outlineLevel="1" x14ac:dyDescent="0.25">
      <c r="C16" s="28"/>
      <c r="D16" s="28"/>
      <c r="E16" s="28"/>
      <c r="F16" s="28"/>
      <c r="G16" s="72"/>
      <c r="H16" s="28"/>
      <c r="I16" s="28"/>
      <c r="J16" s="28"/>
      <c r="K16" s="28"/>
      <c r="L16" s="28"/>
      <c r="M16" s="72"/>
    </row>
    <row r="17" spans="2:17" outlineLevel="1" x14ac:dyDescent="0.25">
      <c r="B17" s="2" t="s">
        <v>85</v>
      </c>
      <c r="C17" s="28">
        <f>'Income Statement'!C15</f>
        <v>-19.491299999999999</v>
      </c>
      <c r="D17" s="28">
        <f>'Income Statement'!D15</f>
        <v>-166.96205485199997</v>
      </c>
      <c r="E17" s="28">
        <f>'Income Statement'!E15</f>
        <v>-223.37274184259206</v>
      </c>
      <c r="F17" s="28">
        <f>'Income Statement'!F15</f>
        <v>-80.14892675433515</v>
      </c>
      <c r="G17" s="72">
        <f>SUM(C17:F17)</f>
        <v>-489.97502344892717</v>
      </c>
      <c r="H17" s="28"/>
      <c r="I17" s="28">
        <f>'Income Statement'!I15</f>
        <v>-51.543204638712048</v>
      </c>
      <c r="J17" s="28">
        <f>'Income Statement'!J15</f>
        <v>-241.25525917286939</v>
      </c>
      <c r="K17" s="28">
        <f>'Income Statement'!K15</f>
        <v>-309.50002594604166</v>
      </c>
      <c r="L17" s="28">
        <f>'Income Statement'!L15</f>
        <v>-122.05693021523206</v>
      </c>
      <c r="M17" s="72">
        <f>SUM(I17:L17)</f>
        <v>-724.35541997285509</v>
      </c>
    </row>
    <row r="18" spans="2:17" ht="12" thickBot="1" x14ac:dyDescent="0.3">
      <c r="B18" s="14" t="s">
        <v>82</v>
      </c>
      <c r="C18" s="32">
        <f>SUM(C11:C17)</f>
        <v>348.75869999999998</v>
      </c>
      <c r="D18" s="32">
        <f>SUM(D11:D17)</f>
        <v>353.83016737022228</v>
      </c>
      <c r="E18" s="32">
        <f>SUM(E11:E17)</f>
        <v>1187.7005914907413</v>
      </c>
      <c r="F18" s="32">
        <f>SUM(F11:F17)</f>
        <v>1174.9114436160348</v>
      </c>
      <c r="G18" s="32">
        <f>SUM(G11:G17)</f>
        <v>3065.2009024769986</v>
      </c>
      <c r="H18" s="28"/>
      <c r="I18" s="32">
        <f>SUM(I11:I17)</f>
        <v>427.58303467752728</v>
      </c>
      <c r="J18" s="32">
        <f>SUM(J11:J17)</f>
        <v>650.3838889752783</v>
      </c>
      <c r="K18" s="32">
        <f>SUM(K11:K17)</f>
        <v>1668.4357689952417</v>
      </c>
      <c r="L18" s="32">
        <f>SUM(L11:L17)</f>
        <v>1584.0904682905693</v>
      </c>
      <c r="M18" s="32">
        <f>SUM(M11:M17)</f>
        <v>4330.4931609386176</v>
      </c>
      <c r="O18" s="217">
        <f>M18/G18-1</f>
        <v>0.41279260274232987</v>
      </c>
    </row>
    <row r="19" spans="2:17" x14ac:dyDescent="0.25">
      <c r="C19" s="28"/>
      <c r="D19" s="28"/>
      <c r="E19" s="28"/>
      <c r="F19" s="28"/>
      <c r="G19" s="72"/>
      <c r="H19" s="28"/>
      <c r="I19" s="28"/>
      <c r="J19" s="28"/>
      <c r="K19" s="28"/>
      <c r="L19" s="28"/>
      <c r="M19" s="72"/>
    </row>
    <row r="20" spans="2:17" outlineLevel="1" x14ac:dyDescent="0.25">
      <c r="B20" s="2" t="s">
        <v>177</v>
      </c>
      <c r="C20" s="28">
        <f>-'Fixed Assets'!C10</f>
        <v>-97.5</v>
      </c>
      <c r="D20" s="28">
        <f>-'Fixed Assets'!D10</f>
        <v>-228</v>
      </c>
      <c r="E20" s="28">
        <f>-'Fixed Assets'!E10</f>
        <v>-246</v>
      </c>
      <c r="F20" s="28">
        <f>-'Fixed Assets'!F10</f>
        <v>-116.49999999999999</v>
      </c>
      <c r="G20" s="72">
        <f t="shared" ref="G20:G23" si="2">SUM(C20:F20)</f>
        <v>-688</v>
      </c>
      <c r="H20" s="28"/>
      <c r="I20" s="28">
        <f>-'Fixed Assets'!I10</f>
        <v>-117.33333333333333</v>
      </c>
      <c r="J20" s="28">
        <f>-'Fixed Assets'!J10</f>
        <v>-274.82666666666665</v>
      </c>
      <c r="K20" s="28">
        <f>-'Fixed Assets'!K10</f>
        <v>-296.5333333333333</v>
      </c>
      <c r="L20" s="28">
        <f>-'Fixed Assets'!L10</f>
        <v>-140.26666666666665</v>
      </c>
      <c r="M20" s="72">
        <f t="shared" ref="M20:M23" si="3">SUM(I20:L20)</f>
        <v>-828.95999999999992</v>
      </c>
    </row>
    <row r="21" spans="2:17" ht="12" thickBot="1" x14ac:dyDescent="0.3">
      <c r="B21" s="14" t="s">
        <v>83</v>
      </c>
      <c r="C21" s="32">
        <f>C20</f>
        <v>-97.5</v>
      </c>
      <c r="D21" s="32">
        <f>D20</f>
        <v>-228</v>
      </c>
      <c r="E21" s="32">
        <f t="shared" ref="E21:G21" si="4">E20</f>
        <v>-246</v>
      </c>
      <c r="F21" s="32">
        <f t="shared" si="4"/>
        <v>-116.49999999999999</v>
      </c>
      <c r="G21" s="75">
        <f t="shared" si="4"/>
        <v>-688</v>
      </c>
      <c r="H21" s="28"/>
      <c r="I21" s="32">
        <f t="shared" ref="I21" si="5">I20</f>
        <v>-117.33333333333333</v>
      </c>
      <c r="J21" s="32">
        <f t="shared" ref="J21" si="6">J20</f>
        <v>-274.82666666666665</v>
      </c>
      <c r="K21" s="32">
        <f t="shared" ref="K21" si="7">K20</f>
        <v>-296.5333333333333</v>
      </c>
      <c r="L21" s="32">
        <f t="shared" ref="L21" si="8">L20</f>
        <v>-140.26666666666665</v>
      </c>
      <c r="M21" s="75">
        <f t="shared" ref="M21" si="9">M20</f>
        <v>-828.95999999999992</v>
      </c>
      <c r="O21" s="217">
        <f>M21/G21-1</f>
        <v>0.20488372093023255</v>
      </c>
    </row>
    <row r="22" spans="2:17" x14ac:dyDescent="0.25">
      <c r="C22" s="28"/>
      <c r="D22" s="28"/>
      <c r="E22" s="28"/>
      <c r="F22" s="28"/>
      <c r="G22" s="72"/>
      <c r="H22" s="28"/>
      <c r="I22" s="28"/>
      <c r="J22" s="28"/>
      <c r="K22" s="28"/>
      <c r="L22" s="28"/>
      <c r="M22" s="72"/>
    </row>
    <row r="23" spans="2:17" outlineLevel="1" x14ac:dyDescent="0.25">
      <c r="B23" s="2" t="s">
        <v>100</v>
      </c>
      <c r="C23" s="28">
        <f>'Loan repayment schedule'!C13</f>
        <v>-20</v>
      </c>
      <c r="D23" s="28">
        <f>'Loan repayment schedule'!D13</f>
        <v>-20</v>
      </c>
      <c r="E23" s="28">
        <f>'Loan repayment schedule'!E13</f>
        <v>-20</v>
      </c>
      <c r="F23" s="28">
        <f>'Loan repayment schedule'!F13</f>
        <v>-20</v>
      </c>
      <c r="G23" s="72">
        <f t="shared" si="2"/>
        <v>-80</v>
      </c>
      <c r="H23" s="28"/>
      <c r="I23" s="28">
        <v>-20</v>
      </c>
      <c r="J23" s="28">
        <v>-20</v>
      </c>
      <c r="K23" s="28">
        <v>-20</v>
      </c>
      <c r="L23" s="28">
        <v>-20</v>
      </c>
      <c r="M23" s="72">
        <f t="shared" si="3"/>
        <v>-80</v>
      </c>
    </row>
    <row r="24" spans="2:17" ht="12" thickBot="1" x14ac:dyDescent="0.3">
      <c r="B24" s="14" t="s">
        <v>84</v>
      </c>
      <c r="C24" s="32">
        <f t="shared" ref="C24" si="10">C23</f>
        <v>-20</v>
      </c>
      <c r="D24" s="32">
        <f t="shared" ref="D24:G24" si="11">D23</f>
        <v>-20</v>
      </c>
      <c r="E24" s="32">
        <f t="shared" si="11"/>
        <v>-20</v>
      </c>
      <c r="F24" s="32">
        <f t="shared" si="11"/>
        <v>-20</v>
      </c>
      <c r="G24" s="75">
        <f t="shared" si="11"/>
        <v>-80</v>
      </c>
      <c r="H24" s="28"/>
      <c r="I24" s="32">
        <f t="shared" ref="I24" si="12">I23</f>
        <v>-20</v>
      </c>
      <c r="J24" s="32">
        <f t="shared" ref="J24" si="13">J23</f>
        <v>-20</v>
      </c>
      <c r="K24" s="32">
        <f t="shared" ref="K24" si="14">K23</f>
        <v>-20</v>
      </c>
      <c r="L24" s="32">
        <f t="shared" ref="L24" si="15">L23</f>
        <v>-20</v>
      </c>
      <c r="M24" s="75">
        <f t="shared" ref="M24" si="16">M23</f>
        <v>-80</v>
      </c>
      <c r="O24" s="217">
        <f>M24/G24-1</f>
        <v>0</v>
      </c>
    </row>
    <row r="25" spans="2:17" x14ac:dyDescent="0.25">
      <c r="C25" s="28"/>
      <c r="D25" s="28"/>
      <c r="E25" s="28"/>
      <c r="F25" s="28"/>
      <c r="G25" s="85"/>
      <c r="H25" s="28"/>
      <c r="I25" s="28"/>
      <c r="J25" s="28"/>
      <c r="K25" s="28"/>
      <c r="L25" s="28"/>
      <c r="M25" s="72"/>
    </row>
    <row r="26" spans="2:17" ht="12" thickBot="1" x14ac:dyDescent="0.3">
      <c r="B26" s="14" t="s">
        <v>73</v>
      </c>
      <c r="C26" s="32">
        <f>C18+C21+C24</f>
        <v>231.25869999999998</v>
      </c>
      <c r="D26" s="32">
        <f>D18+D21+D24</f>
        <v>105.83016737022228</v>
      </c>
      <c r="E26" s="32">
        <f t="shared" ref="E26:G26" si="17">E18+E21+E24</f>
        <v>921.70059149074132</v>
      </c>
      <c r="F26" s="32">
        <f t="shared" si="17"/>
        <v>1038.4114436160348</v>
      </c>
      <c r="G26" s="75">
        <f t="shared" si="17"/>
        <v>2297.2009024769986</v>
      </c>
      <c r="H26" s="28"/>
      <c r="I26" s="32">
        <f t="shared" ref="I26:M26" si="18">I18+I21+I24</f>
        <v>290.24970134419397</v>
      </c>
      <c r="J26" s="32">
        <f t="shared" si="18"/>
        <v>355.55722230861164</v>
      </c>
      <c r="K26" s="32">
        <f t="shared" si="18"/>
        <v>1351.9024356619084</v>
      </c>
      <c r="L26" s="32">
        <f t="shared" si="18"/>
        <v>1423.8238016239027</v>
      </c>
      <c r="M26" s="75">
        <f t="shared" si="18"/>
        <v>3421.5331609386176</v>
      </c>
      <c r="O26" s="217">
        <f>M26/G26-1</f>
        <v>0.4894357551615478</v>
      </c>
    </row>
    <row r="27" spans="2:17" x14ac:dyDescent="0.25">
      <c r="C27" s="28"/>
      <c r="D27" s="28"/>
      <c r="E27" s="28"/>
      <c r="F27" s="28"/>
      <c r="G27" s="85"/>
      <c r="H27" s="28"/>
      <c r="I27" s="28"/>
      <c r="J27" s="28"/>
      <c r="K27" s="28"/>
      <c r="L27" s="28"/>
      <c r="M27" s="72"/>
    </row>
    <row r="28" spans="2:17" x14ac:dyDescent="0.25">
      <c r="B28" s="52" t="s">
        <v>74</v>
      </c>
      <c r="C28" s="70">
        <v>635</v>
      </c>
      <c r="D28" s="28">
        <f>C29</f>
        <v>866.25869999999998</v>
      </c>
      <c r="E28" s="28">
        <f t="shared" ref="E28:F28" si="19">D29</f>
        <v>972.08886737022226</v>
      </c>
      <c r="F28" s="28">
        <f t="shared" si="19"/>
        <v>1893.7894588609636</v>
      </c>
      <c r="G28" s="87">
        <f>C28</f>
        <v>635</v>
      </c>
      <c r="H28" s="28"/>
      <c r="I28" s="28">
        <f>F29</f>
        <v>2932.2009024769986</v>
      </c>
      <c r="J28" s="28">
        <f>I29</f>
        <v>3222.4506038211925</v>
      </c>
      <c r="K28" s="28">
        <f t="shared" ref="K28:L28" si="20">J29</f>
        <v>3578.007826129804</v>
      </c>
      <c r="L28" s="28">
        <f t="shared" si="20"/>
        <v>4929.9102617917124</v>
      </c>
      <c r="M28" s="87">
        <f>G29</f>
        <v>2932.2009024769986</v>
      </c>
      <c r="O28" s="18"/>
    </row>
    <row r="29" spans="2:17" x14ac:dyDescent="0.25">
      <c r="B29" s="52" t="s">
        <v>75</v>
      </c>
      <c r="C29" s="70">
        <f>C26+C28</f>
        <v>866.25869999999998</v>
      </c>
      <c r="D29" s="70">
        <f>D26+D28</f>
        <v>972.08886737022226</v>
      </c>
      <c r="E29" s="70">
        <f>E26+E28</f>
        <v>1893.7894588609636</v>
      </c>
      <c r="F29" s="70">
        <f>F26+F28</f>
        <v>2932.2009024769986</v>
      </c>
      <c r="G29" s="128">
        <f>G26+G28</f>
        <v>2932.2009024769986</v>
      </c>
      <c r="H29" s="28"/>
      <c r="I29" s="70">
        <f>I26+I28</f>
        <v>3222.4506038211925</v>
      </c>
      <c r="J29" s="70">
        <f>J26+J28</f>
        <v>3578.007826129804</v>
      </c>
      <c r="K29" s="70">
        <f>K26+K28</f>
        <v>4929.9102617917124</v>
      </c>
      <c r="L29" s="70">
        <f>L26+L28</f>
        <v>6353.7340634156153</v>
      </c>
      <c r="M29" s="128">
        <f>M26+M28</f>
        <v>6353.7340634156162</v>
      </c>
      <c r="O29" s="218">
        <f>M29/G29-1</f>
        <v>1.1668822412707982</v>
      </c>
      <c r="Q29" s="137" t="s">
        <v>178</v>
      </c>
    </row>
    <row r="30" spans="2:17" ht="12" thickBot="1" x14ac:dyDescent="0.3">
      <c r="B30" s="14" t="s">
        <v>76</v>
      </c>
      <c r="C30" s="88">
        <f>C29-C28</f>
        <v>231.25869999999998</v>
      </c>
      <c r="D30" s="88">
        <f t="shared" ref="D30:F30" si="21">D29-D28</f>
        <v>105.83016737022228</v>
      </c>
      <c r="E30" s="88">
        <f t="shared" si="21"/>
        <v>921.70059149074132</v>
      </c>
      <c r="F30" s="88">
        <f t="shared" si="21"/>
        <v>1038.4114436160351</v>
      </c>
      <c r="G30" s="88">
        <f>G29-G28</f>
        <v>2297.2009024769986</v>
      </c>
      <c r="H30" s="28"/>
      <c r="I30" s="88">
        <f t="shared" ref="I30:L30" si="22">I29-I28</f>
        <v>290.24970134419391</v>
      </c>
      <c r="J30" s="88">
        <f t="shared" si="22"/>
        <v>355.55722230861147</v>
      </c>
      <c r="K30" s="88">
        <f t="shared" si="22"/>
        <v>1351.9024356619084</v>
      </c>
      <c r="L30" s="88">
        <f t="shared" si="22"/>
        <v>1423.8238016239029</v>
      </c>
      <c r="M30" s="88">
        <f>M29-M28</f>
        <v>3421.5331609386176</v>
      </c>
      <c r="O30" s="216"/>
    </row>
    <row r="31" spans="2:17" x14ac:dyDescent="0.25">
      <c r="B31" s="52"/>
      <c r="C31" s="70"/>
      <c r="D31" s="28"/>
      <c r="E31" s="28"/>
      <c r="F31" s="28"/>
      <c r="G31" s="85"/>
      <c r="H31" s="28"/>
      <c r="I31" s="28"/>
      <c r="J31" s="28"/>
      <c r="K31" s="28"/>
      <c r="L31" s="28"/>
      <c r="M31" s="87"/>
    </row>
    <row r="32" spans="2:17" hidden="1" x14ac:dyDescent="0.25">
      <c r="B32" s="54" t="s">
        <v>77</v>
      </c>
      <c r="C32" s="89">
        <f>C26-C30</f>
        <v>0</v>
      </c>
      <c r="D32" s="89">
        <f>D26-D30</f>
        <v>0</v>
      </c>
      <c r="E32" s="89">
        <f>E26-E30</f>
        <v>0</v>
      </c>
      <c r="F32" s="89">
        <f>F26-F30</f>
        <v>0</v>
      </c>
      <c r="G32" s="89">
        <f>G26-G30</f>
        <v>0</v>
      </c>
      <c r="H32" s="90"/>
      <c r="I32" s="89">
        <f>I26-I30</f>
        <v>0</v>
      </c>
      <c r="J32" s="89">
        <f>J26-J30</f>
        <v>0</v>
      </c>
      <c r="K32" s="89">
        <f>K26-K30</f>
        <v>0</v>
      </c>
      <c r="L32" s="89">
        <f>L26-L30</f>
        <v>0</v>
      </c>
      <c r="M32" s="89">
        <f>M26-M30</f>
        <v>0</v>
      </c>
    </row>
    <row r="33" spans="3:13" x14ac:dyDescent="0.25">
      <c r="C33" s="28"/>
      <c r="D33" s="28"/>
      <c r="E33" s="28"/>
      <c r="F33" s="28"/>
      <c r="G33" s="86"/>
      <c r="H33" s="28"/>
      <c r="I33" s="28"/>
      <c r="J33" s="28"/>
      <c r="K33" s="28"/>
      <c r="L33" s="28"/>
      <c r="M33" s="72"/>
    </row>
    <row r="34" spans="3:13" x14ac:dyDescent="0.25">
      <c r="C34" s="28"/>
      <c r="D34" s="28"/>
      <c r="E34" s="28"/>
      <c r="F34" s="28"/>
      <c r="G34" s="72"/>
      <c r="H34" s="28"/>
      <c r="I34" s="28"/>
      <c r="J34" s="28"/>
      <c r="K34" s="28"/>
      <c r="L34" s="28"/>
      <c r="M34" s="72"/>
    </row>
    <row r="35" spans="3:13" x14ac:dyDescent="0.25">
      <c r="C35" s="28"/>
      <c r="D35" s="28"/>
      <c r="E35" s="28"/>
      <c r="F35" s="28"/>
      <c r="G35" s="72"/>
      <c r="H35" s="28"/>
      <c r="I35" s="28"/>
      <c r="J35" s="28"/>
      <c r="K35" s="28"/>
      <c r="L35" s="28"/>
      <c r="M35" s="72"/>
    </row>
  </sheetData>
  <mergeCells count="2">
    <mergeCell ref="C4:F4"/>
    <mergeCell ref="I4:O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2060"/>
  </sheetPr>
  <dimension ref="B11"/>
  <sheetViews>
    <sheetView topLeftCell="A4" workbookViewId="0"/>
  </sheetViews>
  <sheetFormatPr defaultColWidth="9.26953125" defaultRowHeight="14.5" x14ac:dyDescent="0.35"/>
  <cols>
    <col min="1" max="1" width="2" style="1" customWidth="1"/>
    <col min="2" max="16384" width="9.26953125" style="1"/>
  </cols>
  <sheetData>
    <row r="11" spans="2:2" ht="37.5" x14ac:dyDescent="0.75">
      <c r="B11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Q56"/>
  <sheetViews>
    <sheetView zoomScaleNormal="100" workbookViewId="0">
      <selection activeCell="O16" sqref="O16"/>
    </sheetView>
  </sheetViews>
  <sheetFormatPr defaultColWidth="9.26953125" defaultRowHeight="11.5" x14ac:dyDescent="0.25"/>
  <cols>
    <col min="1" max="1" width="2" style="2" customWidth="1"/>
    <col min="2" max="2" width="24.26953125" style="2" customWidth="1"/>
    <col min="3" max="6" width="9.26953125" style="2"/>
    <col min="7" max="7" width="9.26953125" style="79"/>
    <col min="8" max="8" width="1.81640625" style="2" customWidth="1"/>
    <col min="9" max="12" width="9.26953125" style="2"/>
    <col min="13" max="13" width="9.26953125" style="79" customWidth="1"/>
    <col min="14" max="14" width="2.453125" style="18" customWidth="1"/>
    <col min="15" max="15" width="9.26953125" style="79"/>
    <col min="16" max="16" width="4.1796875" style="2" customWidth="1"/>
    <col min="17" max="17" width="13.54296875" style="2" customWidth="1"/>
    <col min="18" max="16384" width="9.26953125" style="2"/>
  </cols>
  <sheetData>
    <row r="1" spans="2:17" ht="15.5" x14ac:dyDescent="0.35">
      <c r="B1" s="3" t="s">
        <v>93</v>
      </c>
    </row>
    <row r="3" spans="2:17" ht="13" x14ac:dyDescent="0.3">
      <c r="B3" s="27" t="s">
        <v>134</v>
      </c>
    </row>
    <row r="4" spans="2:17" x14ac:dyDescent="0.25">
      <c r="B4" s="5"/>
    </row>
    <row r="5" spans="2:17" x14ac:dyDescent="0.25">
      <c r="B5" s="137" t="s">
        <v>86</v>
      </c>
      <c r="C5" s="219" t="s">
        <v>1</v>
      </c>
      <c r="D5" s="219"/>
      <c r="E5" s="219"/>
      <c r="F5" s="219"/>
      <c r="G5" s="219"/>
      <c r="H5" s="6"/>
      <c r="I5" s="219" t="s">
        <v>92</v>
      </c>
      <c r="J5" s="219"/>
      <c r="K5" s="219"/>
      <c r="L5" s="219"/>
      <c r="M5" s="219"/>
      <c r="N5" s="219"/>
      <c r="O5" s="219"/>
    </row>
    <row r="6" spans="2:17" ht="12" thickBot="1" x14ac:dyDescent="0.3"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1" t="s">
        <v>7</v>
      </c>
      <c r="H6" s="6"/>
      <c r="I6" s="8" t="s">
        <v>3</v>
      </c>
      <c r="J6" s="8" t="s">
        <v>4</v>
      </c>
      <c r="K6" s="8" t="s">
        <v>5</v>
      </c>
      <c r="L6" s="8" t="s">
        <v>6</v>
      </c>
      <c r="M6" s="81" t="s">
        <v>7</v>
      </c>
      <c r="N6" s="19"/>
      <c r="O6" s="113" t="s">
        <v>12</v>
      </c>
    </row>
    <row r="7" spans="2:17" x14ac:dyDescent="0.25">
      <c r="B7" s="2" t="s">
        <v>9</v>
      </c>
      <c r="C7" s="10">
        <v>100</v>
      </c>
      <c r="D7" s="10">
        <v>250</v>
      </c>
      <c r="E7" s="10">
        <v>280</v>
      </c>
      <c r="F7" s="10">
        <v>98</v>
      </c>
      <c r="G7" s="129">
        <f>SUM(C7:F7)</f>
        <v>728</v>
      </c>
      <c r="H7" s="9"/>
      <c r="I7" s="10">
        <f>C7*(1+$O7)</f>
        <v>107</v>
      </c>
      <c r="J7" s="10">
        <f t="shared" ref="J7:J9" si="0">D7*(1+$O7)</f>
        <v>267.5</v>
      </c>
      <c r="K7" s="10">
        <f t="shared" ref="K7:K9" si="1">E7*(1+$O7)</f>
        <v>299.60000000000002</v>
      </c>
      <c r="L7" s="10">
        <f t="shared" ref="L7:L9" si="2">F7*(1+$O7)</f>
        <v>104.86</v>
      </c>
      <c r="M7" s="10">
        <f>SUM(I7:L7)</f>
        <v>778.96</v>
      </c>
      <c r="N7" s="20"/>
      <c r="O7" s="140">
        <v>7.0000000000000007E-2</v>
      </c>
      <c r="Q7" s="11"/>
    </row>
    <row r="8" spans="2:17" x14ac:dyDescent="0.25">
      <c r="B8" s="2" t="s">
        <v>10</v>
      </c>
      <c r="C8" s="10">
        <v>50</v>
      </c>
      <c r="D8" s="10">
        <v>86</v>
      </c>
      <c r="E8" s="10">
        <v>92</v>
      </c>
      <c r="F8" s="10">
        <v>65</v>
      </c>
      <c r="G8" s="129">
        <f t="shared" ref="G8:G9" si="3">SUM(C8:F8)</f>
        <v>293</v>
      </c>
      <c r="H8" s="9"/>
      <c r="I8" s="10">
        <f t="shared" ref="I8:I9" si="4">C8*(1+$O8)</f>
        <v>52.75</v>
      </c>
      <c r="J8" s="10">
        <f t="shared" si="0"/>
        <v>90.72999999999999</v>
      </c>
      <c r="K8" s="10">
        <f t="shared" si="1"/>
        <v>97.059999999999988</v>
      </c>
      <c r="L8" s="10">
        <f t="shared" si="2"/>
        <v>68.575000000000003</v>
      </c>
      <c r="M8" s="10">
        <f>SUM(I8:L8)</f>
        <v>309.11499999999995</v>
      </c>
      <c r="N8" s="20"/>
      <c r="O8" s="140">
        <v>5.5E-2</v>
      </c>
      <c r="Q8" s="139" t="s">
        <v>181</v>
      </c>
    </row>
    <row r="9" spans="2:17" x14ac:dyDescent="0.25">
      <c r="B9" s="2" t="s">
        <v>11</v>
      </c>
      <c r="C9" s="10">
        <v>45</v>
      </c>
      <c r="D9" s="10">
        <v>120</v>
      </c>
      <c r="E9" s="10">
        <v>120</v>
      </c>
      <c r="F9" s="10">
        <v>70</v>
      </c>
      <c r="G9" s="129">
        <f t="shared" si="3"/>
        <v>355</v>
      </c>
      <c r="H9" s="9"/>
      <c r="I9" s="10">
        <f t="shared" si="4"/>
        <v>50.400000000000006</v>
      </c>
      <c r="J9" s="10">
        <f t="shared" si="0"/>
        <v>134.4</v>
      </c>
      <c r="K9" s="10">
        <f t="shared" si="1"/>
        <v>134.4</v>
      </c>
      <c r="L9" s="10">
        <f t="shared" si="2"/>
        <v>78.400000000000006</v>
      </c>
      <c r="M9" s="10">
        <f>SUM(I9:L9)</f>
        <v>397.6</v>
      </c>
      <c r="N9" s="20"/>
      <c r="O9" s="140">
        <v>0.12</v>
      </c>
      <c r="Q9" s="11"/>
    </row>
    <row r="10" spans="2:17" ht="12" thickBot="1" x14ac:dyDescent="0.3">
      <c r="B10" s="14" t="s">
        <v>8</v>
      </c>
      <c r="C10" s="15">
        <f>SUM(C7:C9)</f>
        <v>195</v>
      </c>
      <c r="D10" s="15">
        <f>SUM(D7:D9)</f>
        <v>456</v>
      </c>
      <c r="E10" s="15">
        <f>SUM(E7:E9)</f>
        <v>492</v>
      </c>
      <c r="F10" s="15">
        <f>SUM(F7:F9)</f>
        <v>233</v>
      </c>
      <c r="G10" s="144">
        <f>C10+D10+E10+F10</f>
        <v>1376</v>
      </c>
      <c r="H10" s="13"/>
      <c r="I10" s="15">
        <f>SUM(I7:I9)</f>
        <v>210.15</v>
      </c>
      <c r="J10" s="15">
        <f t="shared" ref="J10:L10" si="5">SUM(J7:J9)</f>
        <v>492.63</v>
      </c>
      <c r="K10" s="15">
        <f t="shared" si="5"/>
        <v>531.06000000000006</v>
      </c>
      <c r="L10" s="15">
        <f t="shared" si="5"/>
        <v>251.83500000000001</v>
      </c>
      <c r="M10" s="144">
        <f>I10+J10+K10+L10</f>
        <v>1485.6750000000002</v>
      </c>
      <c r="N10" s="21"/>
      <c r="O10" s="141">
        <f>M10/G10-1</f>
        <v>7.9705668604651336E-2</v>
      </c>
    </row>
    <row r="11" spans="2:17" x14ac:dyDescent="0.25">
      <c r="B11" s="24"/>
      <c r="C11" s="21"/>
      <c r="D11" s="21"/>
      <c r="E11" s="21"/>
      <c r="F11" s="21"/>
      <c r="G11" s="145"/>
      <c r="H11" s="13"/>
      <c r="I11" s="21"/>
      <c r="J11" s="21"/>
      <c r="K11" s="21"/>
      <c r="L11" s="21"/>
      <c r="M11" s="145"/>
      <c r="N11" s="21"/>
      <c r="O11" s="142"/>
    </row>
    <row r="12" spans="2:17" ht="13" x14ac:dyDescent="0.3">
      <c r="B12" s="27"/>
    </row>
    <row r="14" spans="2:17" x14ac:dyDescent="0.25">
      <c r="B14" s="137" t="s">
        <v>43</v>
      </c>
      <c r="C14" s="219" t="s">
        <v>132</v>
      </c>
      <c r="D14" s="219"/>
      <c r="E14" s="219"/>
      <c r="F14" s="219"/>
      <c r="G14" s="219"/>
      <c r="H14" s="6"/>
      <c r="I14" s="219" t="s">
        <v>135</v>
      </c>
      <c r="J14" s="219"/>
      <c r="K14" s="219"/>
      <c r="L14" s="219"/>
      <c r="M14" s="219"/>
      <c r="N14" s="219"/>
      <c r="O14" s="219"/>
    </row>
    <row r="15" spans="2:17" ht="12" thickBot="1" x14ac:dyDescent="0.3">
      <c r="B15" s="7" t="s">
        <v>2</v>
      </c>
      <c r="C15" s="8" t="s">
        <v>3</v>
      </c>
      <c r="D15" s="8" t="s">
        <v>4</v>
      </c>
      <c r="E15" s="8" t="s">
        <v>5</v>
      </c>
      <c r="F15" s="8" t="s">
        <v>6</v>
      </c>
      <c r="G15" s="81" t="s">
        <v>7</v>
      </c>
      <c r="H15" s="6"/>
      <c r="I15" s="8" t="s">
        <v>3</v>
      </c>
      <c r="J15" s="8" t="s">
        <v>4</v>
      </c>
      <c r="K15" s="8" t="s">
        <v>5</v>
      </c>
      <c r="L15" s="8" t="s">
        <v>6</v>
      </c>
      <c r="M15" s="81" t="s">
        <v>7</v>
      </c>
      <c r="N15" s="19"/>
      <c r="O15" s="113" t="s">
        <v>12</v>
      </c>
    </row>
    <row r="16" spans="2:17" x14ac:dyDescent="0.25">
      <c r="B16" s="79" t="s">
        <v>86</v>
      </c>
      <c r="C16" s="10">
        <f>C10</f>
        <v>195</v>
      </c>
      <c r="D16" s="10">
        <f t="shared" ref="D16:G16" si="6">D10</f>
        <v>456</v>
      </c>
      <c r="E16" s="10">
        <f t="shared" si="6"/>
        <v>492</v>
      </c>
      <c r="F16" s="10">
        <f t="shared" si="6"/>
        <v>233</v>
      </c>
      <c r="G16" s="129">
        <f t="shared" si="6"/>
        <v>1376</v>
      </c>
      <c r="I16" s="10">
        <f>I10</f>
        <v>210.15</v>
      </c>
      <c r="J16" s="10">
        <f t="shared" ref="J16:M16" si="7">J10</f>
        <v>492.63</v>
      </c>
      <c r="K16" s="10">
        <f t="shared" si="7"/>
        <v>531.06000000000006</v>
      </c>
      <c r="L16" s="10">
        <f t="shared" si="7"/>
        <v>251.83500000000001</v>
      </c>
      <c r="M16" s="129">
        <f t="shared" si="7"/>
        <v>1485.6750000000002</v>
      </c>
      <c r="O16" s="140">
        <f>M16/G16-1</f>
        <v>7.9705668604651336E-2</v>
      </c>
    </row>
    <row r="17" spans="2:17" x14ac:dyDescent="0.25">
      <c r="C17" s="39"/>
      <c r="D17" s="39"/>
      <c r="E17" s="39"/>
      <c r="F17" s="39"/>
      <c r="G17" s="149"/>
    </row>
    <row r="18" spans="2:17" x14ac:dyDescent="0.25">
      <c r="B18" s="2" t="s">
        <v>15</v>
      </c>
      <c r="C18" s="39">
        <v>130</v>
      </c>
      <c r="D18" s="39">
        <v>304</v>
      </c>
      <c r="E18" s="39">
        <v>328</v>
      </c>
      <c r="F18" s="39">
        <v>155.33333333333331</v>
      </c>
      <c r="G18" s="129">
        <f>SUM(C18:F18)</f>
        <v>917.33333333333326</v>
      </c>
      <c r="I18" s="26">
        <f>I16*I21</f>
        <v>140.1</v>
      </c>
      <c r="J18" s="26">
        <f t="shared" ref="J18:L18" si="8">J16*J21</f>
        <v>328.41999999999996</v>
      </c>
      <c r="K18" s="26">
        <f t="shared" si="8"/>
        <v>354.04</v>
      </c>
      <c r="L18" s="26">
        <f t="shared" si="8"/>
        <v>167.89</v>
      </c>
      <c r="M18" s="129">
        <f>SUM(I18:L18)</f>
        <v>990.44999999999993</v>
      </c>
      <c r="Q18" s="220" t="s">
        <v>182</v>
      </c>
    </row>
    <row r="19" spans="2:17" x14ac:dyDescent="0.25">
      <c r="B19" s="2" t="s">
        <v>16</v>
      </c>
      <c r="C19" s="39">
        <v>65</v>
      </c>
      <c r="D19" s="39">
        <v>152</v>
      </c>
      <c r="E19" s="39">
        <v>164</v>
      </c>
      <c r="F19" s="39">
        <v>77.666666666666657</v>
      </c>
      <c r="G19" s="129">
        <f>SUM(C19:F19)</f>
        <v>458.66666666666663</v>
      </c>
      <c r="I19" s="26">
        <f>I16*I22</f>
        <v>70.05</v>
      </c>
      <c r="J19" s="26">
        <f t="shared" ref="J19:L19" si="9">J16*J22</f>
        <v>164.20999999999998</v>
      </c>
      <c r="K19" s="26">
        <f t="shared" si="9"/>
        <v>177.02</v>
      </c>
      <c r="L19" s="26">
        <f t="shared" si="9"/>
        <v>83.944999999999993</v>
      </c>
      <c r="M19" s="129">
        <f>SUM(I19:L19)</f>
        <v>495.22499999999997</v>
      </c>
      <c r="Q19" s="220"/>
    </row>
    <row r="21" spans="2:17" x14ac:dyDescent="0.25">
      <c r="B21" s="2" t="s">
        <v>15</v>
      </c>
      <c r="C21" s="11">
        <f t="shared" ref="C21:G22" si="10">C18/C$16</f>
        <v>0.66666666666666663</v>
      </c>
      <c r="D21" s="11">
        <f t="shared" si="10"/>
        <v>0.66666666666666663</v>
      </c>
      <c r="E21" s="11">
        <f t="shared" si="10"/>
        <v>0.66666666666666663</v>
      </c>
      <c r="F21" s="11">
        <f t="shared" si="10"/>
        <v>0.66666666666666663</v>
      </c>
      <c r="G21" s="140">
        <f t="shared" si="10"/>
        <v>0.66666666666666663</v>
      </c>
      <c r="I21" s="22">
        <f>C21</f>
        <v>0.66666666666666663</v>
      </c>
      <c r="J21" s="22">
        <f t="shared" ref="J21:J22" si="11">D21</f>
        <v>0.66666666666666663</v>
      </c>
      <c r="K21" s="22">
        <f t="shared" ref="K21:K22" si="12">E21</f>
        <v>0.66666666666666663</v>
      </c>
      <c r="L21" s="22">
        <f t="shared" ref="L21:L22" si="13">F21</f>
        <v>0.66666666666666663</v>
      </c>
      <c r="M21" s="22">
        <f t="shared" ref="M21:M22" si="14">G21</f>
        <v>0.66666666666666663</v>
      </c>
    </row>
    <row r="22" spans="2:17" x14ac:dyDescent="0.25">
      <c r="B22" s="2" t="s">
        <v>16</v>
      </c>
      <c r="C22" s="11">
        <f t="shared" si="10"/>
        <v>0.33333333333333331</v>
      </c>
      <c r="D22" s="11">
        <f t="shared" si="10"/>
        <v>0.33333333333333331</v>
      </c>
      <c r="E22" s="11">
        <f t="shared" si="10"/>
        <v>0.33333333333333331</v>
      </c>
      <c r="F22" s="11">
        <f t="shared" si="10"/>
        <v>0.33333333333333331</v>
      </c>
      <c r="G22" s="140">
        <f t="shared" si="10"/>
        <v>0.33333333333333331</v>
      </c>
      <c r="I22" s="22">
        <f t="shared" ref="I22" si="15">C22</f>
        <v>0.33333333333333331</v>
      </c>
      <c r="J22" s="22">
        <f t="shared" si="11"/>
        <v>0.33333333333333331</v>
      </c>
      <c r="K22" s="22">
        <f t="shared" si="12"/>
        <v>0.33333333333333331</v>
      </c>
      <c r="L22" s="22">
        <f t="shared" si="13"/>
        <v>0.33333333333333331</v>
      </c>
      <c r="M22" s="22">
        <f t="shared" si="14"/>
        <v>0.33333333333333331</v>
      </c>
    </row>
    <row r="23" spans="2:17" x14ac:dyDescent="0.25">
      <c r="C23" s="11"/>
      <c r="D23" s="11"/>
      <c r="E23" s="11"/>
      <c r="F23" s="11"/>
      <c r="G23" s="140"/>
      <c r="I23" s="22"/>
      <c r="J23" s="22"/>
      <c r="K23" s="22"/>
      <c r="L23" s="22"/>
      <c r="M23" s="146"/>
    </row>
    <row r="24" spans="2:17" x14ac:dyDescent="0.25">
      <c r="B24" s="2" t="s">
        <v>17</v>
      </c>
      <c r="C24" s="2">
        <v>10</v>
      </c>
      <c r="D24" s="2">
        <v>10</v>
      </c>
      <c r="E24" s="2">
        <v>10</v>
      </c>
      <c r="F24" s="2">
        <v>10</v>
      </c>
      <c r="G24" s="79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/>
      <c r="O24" s="143">
        <f>M24/G24-1</f>
        <v>0</v>
      </c>
      <c r="Q24" s="220" t="s">
        <v>183</v>
      </c>
    </row>
    <row r="25" spans="2:17" x14ac:dyDescent="0.25">
      <c r="B25" s="2" t="s">
        <v>18</v>
      </c>
      <c r="C25" s="2">
        <v>10</v>
      </c>
      <c r="D25" s="2">
        <v>10</v>
      </c>
      <c r="E25" s="2">
        <v>10</v>
      </c>
      <c r="F25" s="2">
        <v>10</v>
      </c>
      <c r="G25" s="79">
        <v>10</v>
      </c>
      <c r="I25" s="2">
        <f>11</f>
        <v>11</v>
      </c>
      <c r="J25" s="2">
        <f>11</f>
        <v>11</v>
      </c>
      <c r="K25" s="2">
        <f>11</f>
        <v>11</v>
      </c>
      <c r="L25" s="2">
        <f>11</f>
        <v>11</v>
      </c>
      <c r="M25" s="2">
        <f>11</f>
        <v>11</v>
      </c>
      <c r="N25" s="2"/>
      <c r="O25" s="143">
        <f>M25/G25-1</f>
        <v>0.10000000000000009</v>
      </c>
      <c r="Q25" s="220"/>
    </row>
    <row r="26" spans="2:17" x14ac:dyDescent="0.25">
      <c r="M26" s="2"/>
      <c r="N26" s="2"/>
    </row>
    <row r="27" spans="2:17" x14ac:dyDescent="0.25">
      <c r="B27" s="29" t="s">
        <v>19</v>
      </c>
      <c r="C27" s="30">
        <f>C18*C24</f>
        <v>1300</v>
      </c>
      <c r="D27" s="30">
        <f t="shared" ref="D27:G27" si="16">D18*D24</f>
        <v>3040</v>
      </c>
      <c r="E27" s="30">
        <f t="shared" si="16"/>
        <v>3280</v>
      </c>
      <c r="F27" s="30">
        <f t="shared" si="16"/>
        <v>1553.333333333333</v>
      </c>
      <c r="G27" s="147">
        <f t="shared" si="16"/>
        <v>9173.3333333333321</v>
      </c>
      <c r="H27" s="28"/>
      <c r="I27" s="30">
        <f t="shared" ref="I27" si="17">I18*I24</f>
        <v>1401</v>
      </c>
      <c r="J27" s="30">
        <f t="shared" ref="J27:M27" si="18">J18*J24</f>
        <v>3284.2</v>
      </c>
      <c r="K27" s="30">
        <f t="shared" si="18"/>
        <v>3540.4</v>
      </c>
      <c r="L27" s="30">
        <f t="shared" si="18"/>
        <v>1678.8999999999999</v>
      </c>
      <c r="M27" s="30">
        <f t="shared" si="18"/>
        <v>9904.5</v>
      </c>
      <c r="N27" s="2"/>
    </row>
    <row r="28" spans="2:17" x14ac:dyDescent="0.25">
      <c r="B28" s="5" t="s">
        <v>20</v>
      </c>
      <c r="C28" s="31">
        <f t="shared" ref="C28:G28" si="19">C19*C25</f>
        <v>650</v>
      </c>
      <c r="D28" s="31">
        <f t="shared" si="19"/>
        <v>1520</v>
      </c>
      <c r="E28" s="31">
        <f t="shared" si="19"/>
        <v>1640</v>
      </c>
      <c r="F28" s="31">
        <f t="shared" si="19"/>
        <v>776.66666666666652</v>
      </c>
      <c r="G28" s="72">
        <f t="shared" si="19"/>
        <v>4586.6666666666661</v>
      </c>
      <c r="H28" s="28"/>
      <c r="I28" s="31">
        <f t="shared" ref="I28" si="20">I19*I25</f>
        <v>770.55</v>
      </c>
      <c r="J28" s="31">
        <f t="shared" ref="J28:M28" si="21">J19*J25</f>
        <v>1806.3099999999997</v>
      </c>
      <c r="K28" s="31">
        <f t="shared" si="21"/>
        <v>1947.22</v>
      </c>
      <c r="L28" s="31">
        <f t="shared" si="21"/>
        <v>923.39499999999998</v>
      </c>
      <c r="M28" s="31">
        <f t="shared" si="21"/>
        <v>5447.4749999999995</v>
      </c>
      <c r="N28" s="2"/>
    </row>
    <row r="29" spans="2:17" x14ac:dyDescent="0.25">
      <c r="M29" s="2"/>
      <c r="N29" s="2"/>
    </row>
    <row r="30" spans="2:17" ht="12" thickBot="1" x14ac:dyDescent="0.3">
      <c r="B30" s="14" t="s">
        <v>21</v>
      </c>
      <c r="C30" s="32">
        <f>C27+C28</f>
        <v>1950</v>
      </c>
      <c r="D30" s="32">
        <f t="shared" ref="D30:G30" si="22">D27+D28</f>
        <v>4560</v>
      </c>
      <c r="E30" s="32">
        <f t="shared" si="22"/>
        <v>4920</v>
      </c>
      <c r="F30" s="32">
        <f t="shared" si="22"/>
        <v>2329.9999999999995</v>
      </c>
      <c r="G30" s="75">
        <f t="shared" si="22"/>
        <v>13759.999999999998</v>
      </c>
      <c r="H30" s="33"/>
      <c r="I30" s="32">
        <f>I27+I28</f>
        <v>2171.5500000000002</v>
      </c>
      <c r="J30" s="32">
        <f t="shared" ref="J30:M30" si="23">J27+J28</f>
        <v>5090.5099999999993</v>
      </c>
      <c r="K30" s="32">
        <f t="shared" si="23"/>
        <v>5487.62</v>
      </c>
      <c r="L30" s="32">
        <f t="shared" si="23"/>
        <v>2602.2950000000001</v>
      </c>
      <c r="M30" s="32">
        <f t="shared" si="23"/>
        <v>15351.974999999999</v>
      </c>
      <c r="N30" s="2"/>
      <c r="O30" s="140">
        <f>M30/G30-1</f>
        <v>0.11569585755813949</v>
      </c>
    </row>
    <row r="31" spans="2:17" x14ac:dyDescent="0.25">
      <c r="B31" s="24"/>
      <c r="C31" s="138"/>
      <c r="D31" s="138"/>
      <c r="E31" s="138"/>
      <c r="F31" s="138"/>
      <c r="G31" s="148"/>
      <c r="H31" s="33"/>
      <c r="I31" s="138"/>
      <c r="J31" s="138"/>
      <c r="K31" s="138"/>
      <c r="L31" s="138"/>
      <c r="M31" s="148"/>
      <c r="N31" s="2"/>
      <c r="O31" s="140"/>
    </row>
    <row r="32" spans="2:17" x14ac:dyDescent="0.25">
      <c r="B32" s="24"/>
      <c r="C32" s="138"/>
      <c r="D32" s="138"/>
      <c r="E32" s="138"/>
      <c r="F32" s="138"/>
      <c r="G32" s="148"/>
      <c r="H32" s="33"/>
      <c r="I32" s="138"/>
      <c r="J32" s="138"/>
      <c r="K32" s="138"/>
      <c r="L32" s="138"/>
      <c r="M32" s="148"/>
      <c r="N32" s="2"/>
      <c r="O32" s="140"/>
    </row>
    <row r="46" spans="14:14" x14ac:dyDescent="0.25">
      <c r="N46" s="2"/>
    </row>
    <row r="47" spans="14:14" x14ac:dyDescent="0.25">
      <c r="N47" s="2"/>
    </row>
    <row r="48" spans="14:14" x14ac:dyDescent="0.25">
      <c r="N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  <row r="52" spans="14:14" x14ac:dyDescent="0.25">
      <c r="N52" s="2"/>
    </row>
    <row r="53" spans="14:14" x14ac:dyDescent="0.25">
      <c r="N53" s="2"/>
    </row>
    <row r="55" spans="14:14" x14ac:dyDescent="0.25">
      <c r="N55" s="2"/>
    </row>
    <row r="56" spans="14:14" x14ac:dyDescent="0.25">
      <c r="N56" s="2"/>
    </row>
  </sheetData>
  <mergeCells count="6">
    <mergeCell ref="C5:G5"/>
    <mergeCell ref="I5:O5"/>
    <mergeCell ref="C14:G14"/>
    <mergeCell ref="I14:O14"/>
    <mergeCell ref="Q24:Q25"/>
    <mergeCell ref="Q18:Q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O15"/>
  <sheetViews>
    <sheetView zoomScaleNormal="100" workbookViewId="0">
      <selection activeCell="B7" sqref="B7"/>
    </sheetView>
  </sheetViews>
  <sheetFormatPr defaultColWidth="9.26953125" defaultRowHeight="11.5" x14ac:dyDescent="0.25"/>
  <cols>
    <col min="1" max="1" width="2" style="2" customWidth="1"/>
    <col min="2" max="2" width="23.26953125" style="2" customWidth="1"/>
    <col min="3" max="6" width="9.26953125" style="2"/>
    <col min="7" max="7" width="9.26953125" style="79"/>
    <col min="8" max="8" width="1.54296875" style="2" customWidth="1"/>
    <col min="9" max="12" width="9.26953125" style="2"/>
    <col min="13" max="13" width="9.26953125" style="79"/>
    <col min="14" max="14" width="2.54296875" style="2" customWidth="1"/>
    <col min="15" max="15" width="7.54296875" style="2" customWidth="1"/>
    <col min="16" max="16384" width="9.26953125" style="2"/>
  </cols>
  <sheetData>
    <row r="1" spans="2:15" ht="15.5" x14ac:dyDescent="0.35">
      <c r="B1" s="3" t="s">
        <v>93</v>
      </c>
    </row>
    <row r="3" spans="2:15" ht="13" x14ac:dyDescent="0.3">
      <c r="B3" s="27" t="s">
        <v>136</v>
      </c>
    </row>
    <row r="4" spans="2:15" x14ac:dyDescent="0.25">
      <c r="N4" s="18"/>
    </row>
    <row r="5" spans="2:15" x14ac:dyDescent="0.25">
      <c r="C5" s="219" t="s">
        <v>132</v>
      </c>
      <c r="D5" s="219"/>
      <c r="E5" s="219"/>
      <c r="F5" s="219"/>
      <c r="G5" s="219"/>
      <c r="H5" s="6"/>
      <c r="I5" s="219" t="s">
        <v>133</v>
      </c>
      <c r="J5" s="219"/>
      <c r="K5" s="219"/>
      <c r="L5" s="219"/>
      <c r="M5" s="219"/>
      <c r="N5" s="219"/>
      <c r="O5" s="219"/>
    </row>
    <row r="6" spans="2:15" ht="23.5" thickBot="1" x14ac:dyDescent="0.3">
      <c r="B6" s="7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1" t="s">
        <v>7</v>
      </c>
      <c r="H6" s="6"/>
      <c r="I6" s="8" t="s">
        <v>3</v>
      </c>
      <c r="J6" s="8" t="s">
        <v>4</v>
      </c>
      <c r="K6" s="8" t="s">
        <v>5</v>
      </c>
      <c r="L6" s="8" t="s">
        <v>6</v>
      </c>
      <c r="M6" s="81" t="s">
        <v>7</v>
      </c>
      <c r="N6" s="19"/>
      <c r="O6" s="17" t="s">
        <v>12</v>
      </c>
    </row>
    <row r="7" spans="2:15" x14ac:dyDescent="0.25">
      <c r="B7" s="2" t="s">
        <v>13</v>
      </c>
      <c r="C7" s="10">
        <v>18525</v>
      </c>
      <c r="D7" s="10">
        <v>43320</v>
      </c>
      <c r="E7" s="10">
        <v>46740</v>
      </c>
      <c r="F7" s="10">
        <v>22135</v>
      </c>
      <c r="G7" s="129">
        <f>SUM(C7:F7)</f>
        <v>130720</v>
      </c>
      <c r="I7" s="10">
        <f>C7*(1+$O$7)</f>
        <v>21044.400000000001</v>
      </c>
      <c r="J7" s="10">
        <f t="shared" ref="J7:L7" si="0">D7*(1+$O$7)</f>
        <v>49211.520000000004</v>
      </c>
      <c r="K7" s="10">
        <f t="shared" si="0"/>
        <v>53096.640000000007</v>
      </c>
      <c r="L7" s="10">
        <f t="shared" si="0"/>
        <v>25145.360000000004</v>
      </c>
      <c r="M7" s="129">
        <f>SUM(I7:L7)</f>
        <v>148497.92000000004</v>
      </c>
      <c r="N7" s="18"/>
      <c r="O7" s="140">
        <v>0.13600000000000001</v>
      </c>
    </row>
    <row r="8" spans="2:15" x14ac:dyDescent="0.25">
      <c r="B8" s="2" t="s">
        <v>14</v>
      </c>
      <c r="C8" s="22">
        <v>0.10526315789472999</v>
      </c>
      <c r="D8" s="22">
        <v>0.10526315789472999</v>
      </c>
      <c r="E8" s="22">
        <v>0.10526315789472999</v>
      </c>
      <c r="F8" s="22">
        <v>0.10526315789472999</v>
      </c>
      <c r="G8" s="146">
        <v>0.10526315789472999</v>
      </c>
      <c r="I8" s="22">
        <v>0.12</v>
      </c>
      <c r="J8" s="22">
        <f>I8</f>
        <v>0.12</v>
      </c>
      <c r="K8" s="22">
        <f t="shared" ref="K8:M8" si="1">J8</f>
        <v>0.12</v>
      </c>
      <c r="L8" s="22">
        <f t="shared" si="1"/>
        <v>0.12</v>
      </c>
      <c r="M8" s="22">
        <f t="shared" si="1"/>
        <v>0.12</v>
      </c>
      <c r="N8" s="18"/>
      <c r="O8" s="22"/>
    </row>
    <row r="9" spans="2:15" ht="12" thickBot="1" x14ac:dyDescent="0.3">
      <c r="B9" s="14" t="s">
        <v>8</v>
      </c>
      <c r="C9" s="15">
        <f>C7*C8</f>
        <v>1949.9999999998731</v>
      </c>
      <c r="D9" s="15">
        <f>D7*D8</f>
        <v>4559.9999999997035</v>
      </c>
      <c r="E9" s="15">
        <f>E7*E8</f>
        <v>4919.9999999996799</v>
      </c>
      <c r="F9" s="15">
        <f>F7*F8</f>
        <v>2329.9999999998486</v>
      </c>
      <c r="G9" s="144">
        <f>G7*G8</f>
        <v>13759.999999999105</v>
      </c>
      <c r="H9" s="13"/>
      <c r="I9" s="15">
        <f>I7*I8</f>
        <v>2525.328</v>
      </c>
      <c r="J9" s="15">
        <f>J7*J8</f>
        <v>5905.3824000000004</v>
      </c>
      <c r="K9" s="15">
        <f>K7*K8</f>
        <v>6371.5968000000003</v>
      </c>
      <c r="L9" s="15">
        <f>L7*L8</f>
        <v>3017.4432000000006</v>
      </c>
      <c r="M9" s="144">
        <f>M7*M8</f>
        <v>17819.750400000004</v>
      </c>
      <c r="N9" s="21"/>
      <c r="O9" s="16">
        <f>M9/G9-1</f>
        <v>0.29504000000008457</v>
      </c>
    </row>
    <row r="10" spans="2:15" x14ac:dyDescent="0.25">
      <c r="N10" s="18"/>
    </row>
    <row r="11" spans="2:15" x14ac:dyDescent="0.25">
      <c r="N11" s="18"/>
    </row>
    <row r="12" spans="2:15" x14ac:dyDescent="0.25">
      <c r="N12" s="18"/>
    </row>
    <row r="13" spans="2:15" x14ac:dyDescent="0.25">
      <c r="N13" s="18"/>
    </row>
    <row r="14" spans="2:15" x14ac:dyDescent="0.25">
      <c r="N14" s="18"/>
    </row>
    <row r="15" spans="2:15" x14ac:dyDescent="0.25">
      <c r="B15" s="24"/>
      <c r="C15" s="25"/>
      <c r="N15" s="18"/>
    </row>
  </sheetData>
  <mergeCells count="2">
    <mergeCell ref="C5:G5"/>
    <mergeCell ref="I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294E-AD75-4341-8A21-098F14E39583}">
  <dimension ref="B1:X27"/>
  <sheetViews>
    <sheetView showGridLines="0" zoomScaleNormal="100" workbookViewId="0">
      <selection activeCell="O21" sqref="O21"/>
    </sheetView>
  </sheetViews>
  <sheetFormatPr defaultColWidth="8.7265625" defaultRowHeight="11.5" x14ac:dyDescent="0.25"/>
  <cols>
    <col min="1" max="1" width="2.453125" style="52" customWidth="1"/>
    <col min="2" max="2" width="22.453125" style="52" customWidth="1"/>
    <col min="3" max="6" width="8.7265625" style="52"/>
    <col min="7" max="7" width="8.7265625" style="91"/>
    <col min="8" max="8" width="4" style="52" customWidth="1"/>
    <col min="9" max="12" width="8.7265625" style="52"/>
    <col min="13" max="13" width="8.7265625" style="91"/>
    <col min="14" max="14" width="2.26953125" style="52" customWidth="1"/>
    <col min="15" max="15" width="12" style="91" customWidth="1"/>
    <col min="16" max="16" width="8.7265625" style="52"/>
    <col min="17" max="17" width="11" style="52" customWidth="1"/>
    <col min="18" max="18" width="10.453125" style="52" customWidth="1"/>
    <col min="19" max="16384" width="8.7265625" style="52"/>
  </cols>
  <sheetData>
    <row r="1" spans="2:24" ht="15.5" x14ac:dyDescent="0.35">
      <c r="B1" s="3" t="s">
        <v>93</v>
      </c>
      <c r="I1" s="123"/>
      <c r="J1" s="123"/>
      <c r="K1" s="123"/>
      <c r="L1" s="123"/>
      <c r="M1" s="204"/>
      <c r="N1" s="123"/>
    </row>
    <row r="3" spans="2:24" x14ac:dyDescent="0.25">
      <c r="B3" s="137" t="s">
        <v>138</v>
      </c>
    </row>
    <row r="4" spans="2:24" x14ac:dyDescent="0.25">
      <c r="C4" s="110"/>
    </row>
    <row r="5" spans="2:24" x14ac:dyDescent="0.25">
      <c r="B5" s="110" t="s">
        <v>139</v>
      </c>
      <c r="C5" s="197">
        <f>'Bottom-up Approach'!O30</f>
        <v>0.11569585755813949</v>
      </c>
    </row>
    <row r="6" spans="2:24" x14ac:dyDescent="0.25">
      <c r="B6" s="110" t="s">
        <v>140</v>
      </c>
      <c r="C6" s="197">
        <f>'Top-down Approach'!O9</f>
        <v>0.29504000000008457</v>
      </c>
    </row>
    <row r="7" spans="2:24" x14ac:dyDescent="0.25">
      <c r="B7" s="198" t="s">
        <v>137</v>
      </c>
      <c r="C7" s="199">
        <f>AVERAGE(C5:C6)</f>
        <v>0.20536792877911203</v>
      </c>
    </row>
    <row r="10" spans="2:24" x14ac:dyDescent="0.25">
      <c r="B10" s="110"/>
      <c r="C10" s="221" t="s">
        <v>42</v>
      </c>
      <c r="D10" s="221"/>
      <c r="E10" s="221"/>
      <c r="F10" s="221"/>
      <c r="G10" s="221"/>
      <c r="H10" s="111"/>
      <c r="I10" s="221" t="s">
        <v>93</v>
      </c>
      <c r="J10" s="221"/>
      <c r="K10" s="221"/>
      <c r="L10" s="221"/>
      <c r="M10" s="221"/>
      <c r="N10" s="221"/>
      <c r="O10" s="221"/>
      <c r="P10" s="110"/>
      <c r="T10" s="158" t="s">
        <v>185</v>
      </c>
    </row>
    <row r="11" spans="2:24" ht="12" thickBot="1" x14ac:dyDescent="0.3">
      <c r="B11" s="112" t="s">
        <v>2</v>
      </c>
      <c r="C11" s="81" t="s">
        <v>3</v>
      </c>
      <c r="D11" s="81" t="s">
        <v>4</v>
      </c>
      <c r="E11" s="81" t="s">
        <v>5</v>
      </c>
      <c r="F11" s="81" t="s">
        <v>6</v>
      </c>
      <c r="G11" s="81" t="s">
        <v>7</v>
      </c>
      <c r="H11" s="111"/>
      <c r="I11" s="81" t="s">
        <v>3</v>
      </c>
      <c r="J11" s="81" t="s">
        <v>4</v>
      </c>
      <c r="K11" s="81" t="s">
        <v>5</v>
      </c>
      <c r="L11" s="81" t="s">
        <v>6</v>
      </c>
      <c r="M11" s="81" t="s">
        <v>7</v>
      </c>
      <c r="N11" s="82"/>
      <c r="O11" s="113" t="s">
        <v>12</v>
      </c>
      <c r="P11" s="110"/>
      <c r="T11" s="81" t="s">
        <v>3</v>
      </c>
      <c r="U11" s="81" t="s">
        <v>4</v>
      </c>
      <c r="V11" s="81" t="s">
        <v>5</v>
      </c>
      <c r="W11" s="81" t="s">
        <v>6</v>
      </c>
      <c r="X11" s="81" t="s">
        <v>7</v>
      </c>
    </row>
    <row r="12" spans="2:24" x14ac:dyDescent="0.25">
      <c r="B12" s="110" t="s">
        <v>86</v>
      </c>
      <c r="C12" s="200">
        <f>'Bottom-up Approach'!C16</f>
        <v>195</v>
      </c>
      <c r="D12" s="200">
        <f>'Bottom-up Approach'!D16</f>
        <v>456</v>
      </c>
      <c r="E12" s="200">
        <f>'Bottom-up Approach'!E16</f>
        <v>492</v>
      </c>
      <c r="F12" s="200">
        <f>'Bottom-up Approach'!F16</f>
        <v>233</v>
      </c>
      <c r="G12" s="129">
        <f>'Bottom-up Approach'!G16</f>
        <v>1376</v>
      </c>
      <c r="H12" s="110"/>
      <c r="I12" s="200">
        <v>220</v>
      </c>
      <c r="J12" s="200">
        <v>515.29999999999995</v>
      </c>
      <c r="K12" s="200">
        <v>556</v>
      </c>
      <c r="L12" s="200">
        <v>263</v>
      </c>
      <c r="M12" s="129">
        <f>SUM(I12:L12)</f>
        <v>1554.3</v>
      </c>
      <c r="N12" s="201"/>
      <c r="O12" s="140">
        <f>M12/G12-1</f>
        <v>0.12957848837209296</v>
      </c>
      <c r="P12" s="110"/>
      <c r="Q12" s="158" t="s">
        <v>186</v>
      </c>
      <c r="T12" s="200">
        <v>220</v>
      </c>
      <c r="U12" s="200">
        <v>515.29999999999995</v>
      </c>
      <c r="V12" s="200">
        <v>556</v>
      </c>
      <c r="W12" s="200">
        <v>263</v>
      </c>
      <c r="X12" s="129">
        <f>SUM(T12:W12)</f>
        <v>1554.3</v>
      </c>
    </row>
    <row r="13" spans="2:24" x14ac:dyDescent="0.25">
      <c r="B13" s="110"/>
      <c r="C13" s="200"/>
      <c r="D13" s="200"/>
      <c r="E13" s="200"/>
      <c r="F13" s="200"/>
      <c r="G13" s="129"/>
      <c r="H13" s="110"/>
      <c r="I13" s="110"/>
      <c r="J13" s="110"/>
      <c r="K13" s="110"/>
      <c r="L13" s="110"/>
      <c r="M13" s="79"/>
      <c r="N13" s="201"/>
      <c r="O13" s="79"/>
      <c r="P13" s="110"/>
    </row>
    <row r="14" spans="2:24" x14ac:dyDescent="0.25">
      <c r="B14" s="110" t="s">
        <v>15</v>
      </c>
      <c r="C14" s="200">
        <f>'Bottom-up Approach'!C18</f>
        <v>130</v>
      </c>
      <c r="D14" s="200">
        <f>'Bottom-up Approach'!D18</f>
        <v>304</v>
      </c>
      <c r="E14" s="200">
        <f>'Bottom-up Approach'!E18</f>
        <v>328</v>
      </c>
      <c r="F14" s="200">
        <f>'Bottom-up Approach'!F18</f>
        <v>155.33333333333331</v>
      </c>
      <c r="G14" s="129">
        <f>'Bottom-up Approach'!G18</f>
        <v>917.33333333333326</v>
      </c>
      <c r="H14" s="110"/>
      <c r="I14" s="202">
        <f>I12*I17</f>
        <v>146.66666666666666</v>
      </c>
      <c r="J14" s="202">
        <f t="shared" ref="J14:L14" si="0">J12*J17</f>
        <v>343.5333333333333</v>
      </c>
      <c r="K14" s="202">
        <f t="shared" si="0"/>
        <v>370.66666666666663</v>
      </c>
      <c r="L14" s="202">
        <f t="shared" si="0"/>
        <v>175.33333333333331</v>
      </c>
      <c r="M14" s="72">
        <f t="shared" ref="M14:M15" si="1">SUM(I14:L14)</f>
        <v>1036.1999999999998</v>
      </c>
      <c r="N14" s="201"/>
      <c r="O14" s="79"/>
      <c r="P14" s="110"/>
    </row>
    <row r="15" spans="2:24" x14ac:dyDescent="0.25">
      <c r="B15" s="110" t="s">
        <v>16</v>
      </c>
      <c r="C15" s="200">
        <f>'Bottom-up Approach'!C19</f>
        <v>65</v>
      </c>
      <c r="D15" s="200">
        <f>'Bottom-up Approach'!D19</f>
        <v>152</v>
      </c>
      <c r="E15" s="200">
        <f>'Bottom-up Approach'!E19</f>
        <v>164</v>
      </c>
      <c r="F15" s="200">
        <f>'Bottom-up Approach'!F19</f>
        <v>77.666666666666657</v>
      </c>
      <c r="G15" s="129">
        <f>'Bottom-up Approach'!G19</f>
        <v>458.66666666666663</v>
      </c>
      <c r="H15" s="110"/>
      <c r="I15" s="202">
        <f>I12*I18</f>
        <v>73.333333333333329</v>
      </c>
      <c r="J15" s="202">
        <f t="shared" ref="J15:L15" si="2">J12*J18</f>
        <v>171.76666666666665</v>
      </c>
      <c r="K15" s="202">
        <f t="shared" si="2"/>
        <v>185.33333333333331</v>
      </c>
      <c r="L15" s="202">
        <f t="shared" si="2"/>
        <v>87.666666666666657</v>
      </c>
      <c r="M15" s="72">
        <f t="shared" si="1"/>
        <v>518.09999999999991</v>
      </c>
      <c r="N15" s="201"/>
      <c r="O15" s="79"/>
      <c r="P15" s="110"/>
    </row>
    <row r="16" spans="2:24" x14ac:dyDescent="0.25">
      <c r="B16" s="110"/>
      <c r="C16" s="110"/>
      <c r="D16" s="110"/>
      <c r="E16" s="110"/>
      <c r="F16" s="110"/>
      <c r="G16" s="79"/>
      <c r="H16" s="110"/>
      <c r="I16" s="110"/>
      <c r="J16" s="110"/>
      <c r="K16" s="110"/>
      <c r="L16" s="110"/>
      <c r="M16" s="79"/>
      <c r="N16" s="110"/>
      <c r="O16" s="79"/>
      <c r="P16" s="110"/>
    </row>
    <row r="17" spans="2:17" x14ac:dyDescent="0.25">
      <c r="B17" s="110" t="s">
        <v>15</v>
      </c>
      <c r="C17" s="116">
        <f t="shared" ref="C17:G18" si="3">C14/C$12</f>
        <v>0.66666666666666663</v>
      </c>
      <c r="D17" s="116">
        <f t="shared" si="3"/>
        <v>0.66666666666666663</v>
      </c>
      <c r="E17" s="116">
        <f t="shared" si="3"/>
        <v>0.66666666666666663</v>
      </c>
      <c r="F17" s="116">
        <f t="shared" si="3"/>
        <v>0.66666666666666663</v>
      </c>
      <c r="G17" s="140">
        <f t="shared" si="3"/>
        <v>0.66666666666666663</v>
      </c>
      <c r="H17" s="110"/>
      <c r="I17" s="197">
        <f>'Bottom-up Approach'!I21</f>
        <v>0.66666666666666663</v>
      </c>
      <c r="J17" s="197">
        <f>'Bottom-up Approach'!J21</f>
        <v>0.66666666666666663</v>
      </c>
      <c r="K17" s="197">
        <f>'Bottom-up Approach'!K21</f>
        <v>0.66666666666666663</v>
      </c>
      <c r="L17" s="197">
        <f>'Bottom-up Approach'!L21</f>
        <v>0.66666666666666663</v>
      </c>
      <c r="M17" s="146">
        <f>'Bottom-up Approach'!M21</f>
        <v>0.66666666666666663</v>
      </c>
      <c r="N17" s="110"/>
      <c r="O17" s="79"/>
      <c r="P17" s="110"/>
    </row>
    <row r="18" spans="2:17" x14ac:dyDescent="0.25">
      <c r="B18" s="110" t="s">
        <v>16</v>
      </c>
      <c r="C18" s="116">
        <f t="shared" si="3"/>
        <v>0.33333333333333331</v>
      </c>
      <c r="D18" s="116">
        <f t="shared" si="3"/>
        <v>0.33333333333333331</v>
      </c>
      <c r="E18" s="116">
        <f t="shared" si="3"/>
        <v>0.33333333333333331</v>
      </c>
      <c r="F18" s="116">
        <f t="shared" si="3"/>
        <v>0.33333333333333331</v>
      </c>
      <c r="G18" s="140">
        <f t="shared" si="3"/>
        <v>0.33333333333333331</v>
      </c>
      <c r="H18" s="110"/>
      <c r="I18" s="197">
        <f>'Bottom-up Approach'!I22</f>
        <v>0.33333333333333331</v>
      </c>
      <c r="J18" s="197">
        <f>'Bottom-up Approach'!J22</f>
        <v>0.33333333333333331</v>
      </c>
      <c r="K18" s="197">
        <f>'Bottom-up Approach'!K22</f>
        <v>0.33333333333333331</v>
      </c>
      <c r="L18" s="197">
        <f>'Bottom-up Approach'!L22</f>
        <v>0.33333333333333331</v>
      </c>
      <c r="M18" s="146">
        <f>'Bottom-up Approach'!M22</f>
        <v>0.33333333333333331</v>
      </c>
      <c r="N18" s="110"/>
      <c r="O18" s="79"/>
      <c r="P18" s="110"/>
    </row>
    <row r="19" spans="2:17" x14ac:dyDescent="0.25">
      <c r="B19" s="110"/>
      <c r="C19" s="110"/>
      <c r="D19" s="110"/>
      <c r="E19" s="110"/>
      <c r="F19" s="110"/>
      <c r="G19" s="79"/>
      <c r="H19" s="110"/>
      <c r="I19" s="110"/>
      <c r="J19" s="110"/>
      <c r="K19" s="110"/>
      <c r="L19" s="110"/>
      <c r="M19" s="79"/>
      <c r="N19" s="110"/>
      <c r="O19" s="79"/>
      <c r="P19" s="110"/>
    </row>
    <row r="20" spans="2:17" x14ac:dyDescent="0.25">
      <c r="B20" s="110" t="s">
        <v>17</v>
      </c>
      <c r="C20" s="110">
        <v>10</v>
      </c>
      <c r="D20" s="110">
        <v>10</v>
      </c>
      <c r="E20" s="110">
        <v>10</v>
      </c>
      <c r="F20" s="110">
        <v>10</v>
      </c>
      <c r="G20" s="79">
        <v>10</v>
      </c>
      <c r="H20" s="110"/>
      <c r="I20" s="110">
        <v>10</v>
      </c>
      <c r="J20" s="110">
        <v>10</v>
      </c>
      <c r="K20" s="110">
        <v>10</v>
      </c>
      <c r="L20" s="110">
        <v>10</v>
      </c>
      <c r="M20" s="79">
        <v>10</v>
      </c>
      <c r="N20" s="110"/>
      <c r="O20" s="143">
        <f>M20/G20-1</f>
        <v>0</v>
      </c>
      <c r="P20" s="110"/>
    </row>
    <row r="21" spans="2:17" x14ac:dyDescent="0.25">
      <c r="B21" s="110" t="s">
        <v>18</v>
      </c>
      <c r="C21" s="110">
        <v>10</v>
      </c>
      <c r="D21" s="110">
        <v>10</v>
      </c>
      <c r="E21" s="110">
        <v>10</v>
      </c>
      <c r="F21" s="110">
        <v>10</v>
      </c>
      <c r="G21" s="79">
        <v>10</v>
      </c>
      <c r="H21" s="110"/>
      <c r="I21" s="110">
        <v>12</v>
      </c>
      <c r="J21" s="110">
        <v>12</v>
      </c>
      <c r="K21" s="110">
        <v>12</v>
      </c>
      <c r="L21" s="110">
        <v>12</v>
      </c>
      <c r="M21" s="79">
        <f>L21</f>
        <v>12</v>
      </c>
      <c r="N21" s="110"/>
      <c r="O21" s="143">
        <f>M21/G21-1</f>
        <v>0.19999999999999996</v>
      </c>
      <c r="P21" s="110"/>
      <c r="Q21" s="158" t="s">
        <v>184</v>
      </c>
    </row>
    <row r="22" spans="2:17" x14ac:dyDescent="0.25">
      <c r="B22" s="110"/>
      <c r="C22" s="110"/>
      <c r="D22" s="110"/>
      <c r="E22" s="110"/>
      <c r="F22" s="110"/>
      <c r="G22" s="79"/>
      <c r="H22" s="110"/>
      <c r="I22" s="110"/>
      <c r="J22" s="110"/>
      <c r="K22" s="110"/>
      <c r="L22" s="110"/>
      <c r="M22" s="79"/>
      <c r="N22" s="110"/>
      <c r="O22" s="79"/>
      <c r="P22" s="110"/>
    </row>
    <row r="23" spans="2:17" x14ac:dyDescent="0.25">
      <c r="B23" s="203" t="s">
        <v>19</v>
      </c>
      <c r="C23" s="147">
        <f t="shared" ref="C23:G24" si="4">C14*C20</f>
        <v>1300</v>
      </c>
      <c r="D23" s="147">
        <f t="shared" si="4"/>
        <v>3040</v>
      </c>
      <c r="E23" s="147">
        <f t="shared" si="4"/>
        <v>3280</v>
      </c>
      <c r="F23" s="147">
        <f t="shared" si="4"/>
        <v>1553.333333333333</v>
      </c>
      <c r="G23" s="147">
        <f t="shared" si="4"/>
        <v>9173.3333333333321</v>
      </c>
      <c r="H23" s="109"/>
      <c r="I23" s="147">
        <f t="shared" ref="I23:M24" si="5">I14*I20</f>
        <v>1466.6666666666665</v>
      </c>
      <c r="J23" s="147">
        <f t="shared" si="5"/>
        <v>3435.333333333333</v>
      </c>
      <c r="K23" s="147">
        <f t="shared" si="5"/>
        <v>3706.6666666666661</v>
      </c>
      <c r="L23" s="147">
        <f t="shared" si="5"/>
        <v>1753.333333333333</v>
      </c>
      <c r="M23" s="147">
        <f t="shared" si="5"/>
        <v>10361.999999999998</v>
      </c>
      <c r="N23" s="110"/>
      <c r="O23" s="79"/>
      <c r="P23" s="110"/>
    </row>
    <row r="24" spans="2:17" x14ac:dyDescent="0.25">
      <c r="B24" s="79" t="s">
        <v>20</v>
      </c>
      <c r="C24" s="72">
        <f t="shared" si="4"/>
        <v>650</v>
      </c>
      <c r="D24" s="72">
        <f t="shared" si="4"/>
        <v>1520</v>
      </c>
      <c r="E24" s="72">
        <f t="shared" si="4"/>
        <v>1640</v>
      </c>
      <c r="F24" s="72">
        <f t="shared" si="4"/>
        <v>776.66666666666652</v>
      </c>
      <c r="G24" s="72">
        <f t="shared" si="4"/>
        <v>4586.6666666666661</v>
      </c>
      <c r="H24" s="109"/>
      <c r="I24" s="72">
        <f t="shared" si="5"/>
        <v>880</v>
      </c>
      <c r="J24" s="72">
        <f t="shared" si="5"/>
        <v>2061.1999999999998</v>
      </c>
      <c r="K24" s="72">
        <f t="shared" si="5"/>
        <v>2224</v>
      </c>
      <c r="L24" s="72">
        <f t="shared" si="5"/>
        <v>1052</v>
      </c>
      <c r="M24" s="72">
        <f t="shared" si="5"/>
        <v>6217.1999999999989</v>
      </c>
      <c r="N24" s="110"/>
      <c r="O24" s="79"/>
      <c r="P24" s="110"/>
    </row>
    <row r="25" spans="2:17" x14ac:dyDescent="0.25">
      <c r="B25" s="110"/>
      <c r="C25" s="110"/>
      <c r="D25" s="110"/>
      <c r="E25" s="110"/>
      <c r="F25" s="110"/>
      <c r="G25" s="79"/>
      <c r="H25" s="110"/>
      <c r="I25" s="110"/>
      <c r="J25" s="110"/>
      <c r="K25" s="110"/>
      <c r="L25" s="110"/>
      <c r="M25" s="79"/>
      <c r="N25" s="110"/>
      <c r="O25" s="79"/>
      <c r="P25" s="110"/>
    </row>
    <row r="26" spans="2:17" ht="12" thickBot="1" x14ac:dyDescent="0.3">
      <c r="B26" s="185" t="s">
        <v>21</v>
      </c>
      <c r="C26" s="75">
        <f>C23+C24</f>
        <v>1950</v>
      </c>
      <c r="D26" s="75">
        <f>D23+D24</f>
        <v>4560</v>
      </c>
      <c r="E26" s="75">
        <f>E23+E24</f>
        <v>4920</v>
      </c>
      <c r="F26" s="75">
        <f>F23+F24</f>
        <v>2329.9999999999995</v>
      </c>
      <c r="G26" s="75">
        <f>G23+G24</f>
        <v>13759.999999999998</v>
      </c>
      <c r="H26" s="83"/>
      <c r="I26" s="75">
        <f>I23+I24</f>
        <v>2346.6666666666665</v>
      </c>
      <c r="J26" s="75">
        <f>J23+J24</f>
        <v>5496.5333333333328</v>
      </c>
      <c r="K26" s="75">
        <f>K23+K24</f>
        <v>5930.6666666666661</v>
      </c>
      <c r="L26" s="75">
        <f>L23+L24</f>
        <v>2805.333333333333</v>
      </c>
      <c r="M26" s="75">
        <f>M23+M24</f>
        <v>16579.199999999997</v>
      </c>
      <c r="N26" s="110"/>
      <c r="O26" s="141">
        <f>M26/G26-1</f>
        <v>0.20488372093023255</v>
      </c>
      <c r="P26" s="110"/>
      <c r="Q26" s="158" t="s">
        <v>187</v>
      </c>
    </row>
    <row r="27" spans="2:17" x14ac:dyDescent="0.25">
      <c r="B27" s="110"/>
      <c r="C27" s="110"/>
      <c r="D27" s="110"/>
      <c r="E27" s="110"/>
      <c r="F27" s="110"/>
      <c r="G27" s="79"/>
      <c r="H27" s="110"/>
      <c r="I27" s="110"/>
      <c r="J27" s="110"/>
      <c r="K27" s="110"/>
      <c r="L27" s="110"/>
      <c r="M27" s="79"/>
      <c r="N27" s="110"/>
      <c r="O27" s="79"/>
      <c r="P27" s="110"/>
    </row>
  </sheetData>
  <mergeCells count="2">
    <mergeCell ref="C10:G10"/>
    <mergeCell ref="I10:O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:B11"/>
  <sheetViews>
    <sheetView workbookViewId="0">
      <selection activeCell="K11" sqref="K11"/>
    </sheetView>
  </sheetViews>
  <sheetFormatPr defaultColWidth="9.26953125" defaultRowHeight="11.5" x14ac:dyDescent="0.25"/>
  <cols>
    <col min="1" max="1" width="2" style="2" customWidth="1"/>
    <col min="2" max="16384" width="9.26953125" style="2"/>
  </cols>
  <sheetData>
    <row r="1" spans="2:2" ht="15.5" x14ac:dyDescent="0.35">
      <c r="B1" s="3"/>
    </row>
    <row r="11" spans="2:2" ht="37.5" x14ac:dyDescent="0.75">
      <c r="B11" s="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56"/>
  <sheetViews>
    <sheetView showGridLines="0" zoomScaleNormal="100" workbookViewId="0">
      <selection activeCell="C27" sqref="C27"/>
    </sheetView>
  </sheetViews>
  <sheetFormatPr defaultColWidth="9.26953125" defaultRowHeight="11.5" x14ac:dyDescent="0.25"/>
  <cols>
    <col min="1" max="1" width="2" style="2" customWidth="1"/>
    <col min="2" max="2" width="22.26953125" style="2" customWidth="1"/>
    <col min="3" max="6" width="9.7265625" style="2" bestFit="1" customWidth="1"/>
    <col min="7" max="7" width="9.7265625" style="79" customWidth="1"/>
    <col min="8" max="8" width="1.54296875" style="180" customWidth="1"/>
    <col min="9" max="12" width="9.7265625" style="2" bestFit="1" customWidth="1"/>
    <col min="13" max="13" width="9.81640625" style="79" customWidth="1"/>
    <col min="14" max="14" width="1.54296875" style="2" customWidth="1"/>
    <col min="15" max="16384" width="9.26953125" style="2"/>
  </cols>
  <sheetData>
    <row r="1" spans="2:15" ht="15.5" x14ac:dyDescent="0.35">
      <c r="B1" s="3" t="s">
        <v>91</v>
      </c>
    </row>
    <row r="3" spans="2:15" x14ac:dyDescent="0.25">
      <c r="C3" s="219" t="s">
        <v>1</v>
      </c>
      <c r="D3" s="219"/>
      <c r="E3" s="219"/>
      <c r="F3" s="219"/>
      <c r="G3" s="219"/>
      <c r="H3" s="155"/>
      <c r="I3" s="219" t="s">
        <v>88</v>
      </c>
      <c r="J3" s="219"/>
      <c r="K3" s="219"/>
      <c r="L3" s="219"/>
      <c r="M3" s="219"/>
      <c r="N3" s="219"/>
      <c r="O3" s="219"/>
    </row>
    <row r="4" spans="2:15" ht="12" thickBot="1" x14ac:dyDescent="0.3">
      <c r="B4" s="7" t="s">
        <v>141</v>
      </c>
      <c r="C4" s="8" t="s">
        <v>3</v>
      </c>
      <c r="D4" s="8" t="s">
        <v>4</v>
      </c>
      <c r="E4" s="8" t="s">
        <v>5</v>
      </c>
      <c r="F4" s="8" t="s">
        <v>6</v>
      </c>
      <c r="G4" s="81" t="s">
        <v>7</v>
      </c>
      <c r="H4" s="155"/>
      <c r="I4" s="8" t="s">
        <v>3</v>
      </c>
      <c r="J4" s="8" t="s">
        <v>4</v>
      </c>
      <c r="K4" s="8" t="s">
        <v>5</v>
      </c>
      <c r="L4" s="8" t="s">
        <v>6</v>
      </c>
      <c r="M4" s="81" t="s">
        <v>7</v>
      </c>
      <c r="N4" s="19"/>
      <c r="O4" s="17" t="s">
        <v>12</v>
      </c>
    </row>
    <row r="5" spans="2:15" x14ac:dyDescent="0.25">
      <c r="B5" s="2" t="s">
        <v>86</v>
      </c>
      <c r="C5" s="10">
        <f>'Volume and Mix Triangulation'!C12</f>
        <v>195</v>
      </c>
      <c r="D5" s="10">
        <f>'Volume and Mix Triangulation'!D12</f>
        <v>456</v>
      </c>
      <c r="E5" s="10">
        <f>'Volume and Mix Triangulation'!E12</f>
        <v>492</v>
      </c>
      <c r="F5" s="10">
        <f>'Volume and Mix Triangulation'!F12</f>
        <v>233</v>
      </c>
      <c r="G5" s="129">
        <f>'Volume and Mix Triangulation'!G12</f>
        <v>1376</v>
      </c>
      <c r="I5" s="10">
        <f>'Volume and Mix Triangulation'!I12</f>
        <v>220</v>
      </c>
      <c r="J5" s="10">
        <f>'Volume and Mix Triangulation'!J12</f>
        <v>515.29999999999995</v>
      </c>
      <c r="K5" s="10">
        <f>'Volume and Mix Triangulation'!K12</f>
        <v>556</v>
      </c>
      <c r="L5" s="10">
        <f>'Volume and Mix Triangulation'!L12</f>
        <v>263</v>
      </c>
      <c r="M5" s="129">
        <f>'Volume and Mix Triangulation'!M12</f>
        <v>1554.3</v>
      </c>
      <c r="N5" s="18"/>
      <c r="O5" s="183">
        <f>M5/G5-1</f>
        <v>0.12957848837209296</v>
      </c>
    </row>
    <row r="6" spans="2:15" ht="12" x14ac:dyDescent="0.3">
      <c r="B6" s="60" t="s">
        <v>87</v>
      </c>
    </row>
    <row r="7" spans="2:15" x14ac:dyDescent="0.25">
      <c r="B7" s="2" t="s">
        <v>15</v>
      </c>
      <c r="C7" s="10">
        <f>'Volume and Mix Triangulation'!C14</f>
        <v>130</v>
      </c>
      <c r="D7" s="10">
        <f>'Volume and Mix Triangulation'!D14</f>
        <v>304</v>
      </c>
      <c r="E7" s="10">
        <f>'Volume and Mix Triangulation'!E14</f>
        <v>328</v>
      </c>
      <c r="F7" s="10">
        <f>'Volume and Mix Triangulation'!F14</f>
        <v>155.33333333333331</v>
      </c>
      <c r="G7" s="129">
        <f>'Volume and Mix Triangulation'!G14</f>
        <v>917.33333333333326</v>
      </c>
      <c r="H7" s="181"/>
      <c r="I7" s="10">
        <f>'Volume and Mix Triangulation'!I14</f>
        <v>146.66666666666666</v>
      </c>
      <c r="J7" s="10">
        <f>'Volume and Mix Triangulation'!J14</f>
        <v>343.5333333333333</v>
      </c>
      <c r="K7" s="10">
        <f>'Volume and Mix Triangulation'!K14</f>
        <v>370.66666666666663</v>
      </c>
      <c r="L7" s="10">
        <f>'Volume and Mix Triangulation'!L14</f>
        <v>175.33333333333331</v>
      </c>
      <c r="M7" s="129">
        <f>'Volume and Mix Triangulation'!M14</f>
        <v>1036.1999999999998</v>
      </c>
    </row>
    <row r="8" spans="2:15" x14ac:dyDescent="0.25">
      <c r="B8" s="2" t="s">
        <v>16</v>
      </c>
      <c r="C8" s="10">
        <f>'Volume and Mix Triangulation'!C15</f>
        <v>65</v>
      </c>
      <c r="D8" s="10">
        <f>'Volume and Mix Triangulation'!D15</f>
        <v>152</v>
      </c>
      <c r="E8" s="10">
        <f>'Volume and Mix Triangulation'!E15</f>
        <v>164</v>
      </c>
      <c r="F8" s="10">
        <f>'Volume and Mix Triangulation'!F15</f>
        <v>77.666666666666657</v>
      </c>
      <c r="G8" s="129">
        <f>'Volume and Mix Triangulation'!G15</f>
        <v>458.66666666666663</v>
      </c>
      <c r="H8" s="181"/>
      <c r="I8" s="10">
        <f>'Volume and Mix Triangulation'!I15</f>
        <v>73.333333333333329</v>
      </c>
      <c r="J8" s="10">
        <f>'Volume and Mix Triangulation'!J15</f>
        <v>171.76666666666665</v>
      </c>
      <c r="K8" s="10">
        <f>'Volume and Mix Triangulation'!K15</f>
        <v>185.33333333333331</v>
      </c>
      <c r="L8" s="10">
        <f>'Volume and Mix Triangulation'!L15</f>
        <v>87.666666666666657</v>
      </c>
      <c r="M8" s="129">
        <f>'Volume and Mix Triangulation'!M15</f>
        <v>518.09999999999991</v>
      </c>
    </row>
    <row r="11" spans="2:15" x14ac:dyDescent="0.25">
      <c r="B11" s="34" t="s">
        <v>23</v>
      </c>
    </row>
    <row r="12" spans="2:15" x14ac:dyDescent="0.25">
      <c r="B12" s="2" t="s">
        <v>15</v>
      </c>
      <c r="C12" s="9">
        <v>0.25</v>
      </c>
      <c r="D12" s="9">
        <v>0.25</v>
      </c>
      <c r="E12" s="9">
        <v>0.25</v>
      </c>
      <c r="F12" s="9">
        <v>0.25</v>
      </c>
      <c r="I12" s="9">
        <v>0.25</v>
      </c>
      <c r="J12" s="9">
        <v>0.25</v>
      </c>
      <c r="K12" s="9">
        <v>0.25</v>
      </c>
      <c r="L12" s="9">
        <v>0.25</v>
      </c>
    </row>
    <row r="13" spans="2:15" x14ac:dyDescent="0.25">
      <c r="B13" s="2" t="s">
        <v>16</v>
      </c>
      <c r="C13" s="9">
        <v>0.3</v>
      </c>
      <c r="D13" s="9">
        <v>0.3</v>
      </c>
      <c r="E13" s="9">
        <v>0.3</v>
      </c>
      <c r="F13" s="9">
        <v>0.3</v>
      </c>
      <c r="I13" s="9">
        <v>0.3</v>
      </c>
      <c r="J13" s="9">
        <v>0.3</v>
      </c>
      <c r="K13" s="9">
        <v>0.3</v>
      </c>
      <c r="L13" s="9">
        <v>0.3</v>
      </c>
    </row>
    <row r="15" spans="2:15" x14ac:dyDescent="0.25">
      <c r="B15" s="34" t="s">
        <v>24</v>
      </c>
    </row>
    <row r="16" spans="2:15" x14ac:dyDescent="0.25">
      <c r="B16" s="2" t="s">
        <v>15</v>
      </c>
      <c r="C16" s="26">
        <v>32</v>
      </c>
      <c r="D16" s="26">
        <f t="shared" ref="D16:F17" si="0">C20</f>
        <v>32.5</v>
      </c>
      <c r="E16" s="26">
        <f t="shared" si="0"/>
        <v>76</v>
      </c>
      <c r="F16" s="26">
        <f t="shared" si="0"/>
        <v>82</v>
      </c>
      <c r="I16" s="26">
        <f>F20</f>
        <v>38.833333333333329</v>
      </c>
      <c r="J16" s="26">
        <f t="shared" ref="J16:L17" si="1">I20</f>
        <v>36.666666666666664</v>
      </c>
      <c r="K16" s="26">
        <f t="shared" si="1"/>
        <v>85.883333333333326</v>
      </c>
      <c r="L16" s="26">
        <f t="shared" si="1"/>
        <v>92.666666666666657</v>
      </c>
    </row>
    <row r="17" spans="2:15" x14ac:dyDescent="0.25">
      <c r="B17" s="2" t="s">
        <v>16</v>
      </c>
      <c r="C17" s="26">
        <v>16</v>
      </c>
      <c r="D17" s="26">
        <f t="shared" si="0"/>
        <v>19.5</v>
      </c>
      <c r="E17" s="26">
        <f t="shared" si="0"/>
        <v>45.6</v>
      </c>
      <c r="F17" s="26">
        <f t="shared" si="0"/>
        <v>49.199999999999996</v>
      </c>
      <c r="I17" s="26">
        <f>F21</f>
        <v>23.299999999999997</v>
      </c>
      <c r="J17" s="26">
        <f t="shared" si="1"/>
        <v>21.999999999999996</v>
      </c>
      <c r="K17" s="26">
        <f t="shared" si="1"/>
        <v>51.529999999999994</v>
      </c>
      <c r="L17" s="26">
        <f t="shared" si="1"/>
        <v>55.599999999999994</v>
      </c>
    </row>
    <row r="19" spans="2:15" x14ac:dyDescent="0.25">
      <c r="B19" s="34" t="s">
        <v>25</v>
      </c>
    </row>
    <row r="20" spans="2:15" x14ac:dyDescent="0.25">
      <c r="B20" s="2" t="s">
        <v>15</v>
      </c>
      <c r="C20" s="26">
        <f t="shared" ref="C20:F21" si="2">C12*C7</f>
        <v>32.5</v>
      </c>
      <c r="D20" s="26">
        <f t="shared" si="2"/>
        <v>76</v>
      </c>
      <c r="E20" s="26">
        <f t="shared" si="2"/>
        <v>82</v>
      </c>
      <c r="F20" s="26">
        <f t="shared" si="2"/>
        <v>38.833333333333329</v>
      </c>
      <c r="I20" s="26">
        <f t="shared" ref="I20:L21" si="3">I12*I7</f>
        <v>36.666666666666664</v>
      </c>
      <c r="J20" s="26">
        <f t="shared" si="3"/>
        <v>85.883333333333326</v>
      </c>
      <c r="K20" s="26">
        <f t="shared" si="3"/>
        <v>92.666666666666657</v>
      </c>
      <c r="L20" s="26">
        <f t="shared" si="3"/>
        <v>43.833333333333329</v>
      </c>
    </row>
    <row r="21" spans="2:15" x14ac:dyDescent="0.25">
      <c r="B21" s="2" t="s">
        <v>16</v>
      </c>
      <c r="C21" s="26">
        <f t="shared" si="2"/>
        <v>19.5</v>
      </c>
      <c r="D21" s="26">
        <f t="shared" si="2"/>
        <v>45.6</v>
      </c>
      <c r="E21" s="26">
        <f t="shared" si="2"/>
        <v>49.199999999999996</v>
      </c>
      <c r="F21" s="26">
        <f t="shared" si="2"/>
        <v>23.299999999999997</v>
      </c>
      <c r="I21" s="26">
        <f t="shared" si="3"/>
        <v>21.999999999999996</v>
      </c>
      <c r="J21" s="26">
        <f t="shared" si="3"/>
        <v>51.529999999999994</v>
      </c>
      <c r="K21" s="26">
        <f t="shared" si="3"/>
        <v>55.599999999999994</v>
      </c>
      <c r="L21" s="26">
        <f t="shared" si="3"/>
        <v>26.299999999999997</v>
      </c>
    </row>
    <row r="23" spans="2:15" x14ac:dyDescent="0.25">
      <c r="B23" s="35" t="s">
        <v>89</v>
      </c>
      <c r="C23" s="36"/>
      <c r="D23" s="36"/>
      <c r="E23" s="36"/>
      <c r="F23" s="36"/>
      <c r="G23" s="64"/>
      <c r="I23" s="36"/>
      <c r="J23" s="36"/>
      <c r="K23" s="36"/>
      <c r="L23" s="36"/>
      <c r="M23" s="64"/>
      <c r="N23" s="18"/>
    </row>
    <row r="24" spans="2:15" x14ac:dyDescent="0.25">
      <c r="B24" s="36" t="s">
        <v>15</v>
      </c>
      <c r="C24" s="37">
        <f>C7+C20-C16</f>
        <v>130.5</v>
      </c>
      <c r="D24" s="37">
        <f t="shared" ref="C24:F25" si="4">D7+D20-D16</f>
        <v>347.5</v>
      </c>
      <c r="E24" s="37">
        <f t="shared" si="4"/>
        <v>334</v>
      </c>
      <c r="F24" s="37">
        <f t="shared" si="4"/>
        <v>112.16666666666663</v>
      </c>
      <c r="G24" s="66">
        <f>SUM(C24:F24)</f>
        <v>924.16666666666663</v>
      </c>
      <c r="I24" s="37">
        <f t="shared" ref="I24:L25" si="5">I7+I20-I16</f>
        <v>144.5</v>
      </c>
      <c r="J24" s="37">
        <f t="shared" si="5"/>
        <v>392.74999999999994</v>
      </c>
      <c r="K24" s="37">
        <f t="shared" si="5"/>
        <v>377.44999999999993</v>
      </c>
      <c r="L24" s="37">
        <f t="shared" si="5"/>
        <v>126.49999999999997</v>
      </c>
      <c r="M24" s="152">
        <f>SUM(I24:L24)</f>
        <v>1041.1999999999998</v>
      </c>
      <c r="N24" s="18"/>
    </row>
    <row r="25" spans="2:15" x14ac:dyDescent="0.25">
      <c r="B25" s="36" t="s">
        <v>16</v>
      </c>
      <c r="C25" s="37">
        <f t="shared" si="4"/>
        <v>68.5</v>
      </c>
      <c r="D25" s="37">
        <f t="shared" si="4"/>
        <v>178.1</v>
      </c>
      <c r="E25" s="37">
        <f t="shared" si="4"/>
        <v>167.6</v>
      </c>
      <c r="F25" s="37">
        <f t="shared" si="4"/>
        <v>51.766666666666659</v>
      </c>
      <c r="G25" s="66">
        <f>SUM(C25:F25)</f>
        <v>465.96666666666664</v>
      </c>
      <c r="I25" s="37">
        <f t="shared" si="5"/>
        <v>72.033333333333331</v>
      </c>
      <c r="J25" s="37">
        <f t="shared" si="5"/>
        <v>201.29666666666665</v>
      </c>
      <c r="K25" s="37">
        <f t="shared" si="5"/>
        <v>189.40333333333331</v>
      </c>
      <c r="L25" s="37">
        <f t="shared" si="5"/>
        <v>58.36666666666666</v>
      </c>
      <c r="M25" s="152">
        <f>SUM(I25:L25)</f>
        <v>521.09999999999991</v>
      </c>
      <c r="N25" s="18"/>
    </row>
    <row r="26" spans="2:15" x14ac:dyDescent="0.25">
      <c r="N26" s="18"/>
    </row>
    <row r="27" spans="2:15" ht="12" thickBot="1" x14ac:dyDescent="0.3">
      <c r="B27" s="32" t="s">
        <v>144</v>
      </c>
      <c r="C27" s="32">
        <f>SUM(C24:C25)</f>
        <v>199</v>
      </c>
      <c r="D27" s="32">
        <f t="shared" ref="D27:M27" si="6">SUM(D24:D25)</f>
        <v>525.6</v>
      </c>
      <c r="E27" s="32">
        <f t="shared" si="6"/>
        <v>501.6</v>
      </c>
      <c r="F27" s="32">
        <f t="shared" si="6"/>
        <v>163.93333333333328</v>
      </c>
      <c r="G27" s="32">
        <f t="shared" si="6"/>
        <v>1390.1333333333332</v>
      </c>
      <c r="H27" s="182"/>
      <c r="I27" s="32">
        <f t="shared" si="6"/>
        <v>216.53333333333333</v>
      </c>
      <c r="J27" s="32">
        <f t="shared" si="6"/>
        <v>594.04666666666662</v>
      </c>
      <c r="K27" s="32">
        <f t="shared" si="6"/>
        <v>566.85333333333324</v>
      </c>
      <c r="L27" s="32">
        <f t="shared" si="6"/>
        <v>184.86666666666662</v>
      </c>
      <c r="M27" s="32">
        <f t="shared" si="6"/>
        <v>1562.2999999999997</v>
      </c>
      <c r="N27" s="138"/>
      <c r="O27" s="179">
        <f>M27/G27-1</f>
        <v>0.12384903126798386</v>
      </c>
    </row>
    <row r="28" spans="2:15" ht="12.75" customHeight="1" x14ac:dyDescent="0.25">
      <c r="N28" s="18"/>
    </row>
    <row r="29" spans="2:15" ht="12" customHeight="1" x14ac:dyDescent="0.25">
      <c r="N29" s="18"/>
    </row>
    <row r="30" spans="2:15" ht="12" customHeight="1" x14ac:dyDescent="0.25"/>
    <row r="31" spans="2:15" ht="12" customHeight="1" x14ac:dyDescent="0.25"/>
    <row r="32" spans="2:15" ht="12" customHeight="1" x14ac:dyDescent="0.25"/>
    <row r="33" spans="16:16" ht="12" customHeight="1" x14ac:dyDescent="0.25"/>
    <row r="34" spans="16:16" ht="12" customHeight="1" x14ac:dyDescent="0.25"/>
    <row r="35" spans="16:16" ht="12" customHeight="1" x14ac:dyDescent="0.25"/>
    <row r="36" spans="16:16" ht="12" customHeight="1" x14ac:dyDescent="0.25"/>
    <row r="37" spans="16:16" ht="12" customHeight="1" x14ac:dyDescent="0.25"/>
    <row r="38" spans="16:16" ht="12" customHeight="1" x14ac:dyDescent="0.25"/>
    <row r="39" spans="16:16" ht="12" customHeight="1" x14ac:dyDescent="0.25"/>
    <row r="40" spans="16:16" ht="12" customHeight="1" x14ac:dyDescent="0.25"/>
    <row r="41" spans="16:16" ht="12" customHeight="1" x14ac:dyDescent="0.25"/>
    <row r="42" spans="16:16" ht="12" customHeight="1" x14ac:dyDescent="0.25">
      <c r="P42" s="53"/>
    </row>
    <row r="43" spans="16:16" ht="12" customHeight="1" x14ac:dyDescent="0.25">
      <c r="P43" s="53"/>
    </row>
    <row r="44" spans="16:16" ht="12" customHeight="1" x14ac:dyDescent="0.25">
      <c r="P44" s="53"/>
    </row>
    <row r="45" spans="16:16" ht="12" customHeight="1" x14ac:dyDescent="0.25">
      <c r="P45" s="53"/>
    </row>
    <row r="46" spans="16:16" ht="12" customHeight="1" x14ac:dyDescent="0.25">
      <c r="P46" s="53"/>
    </row>
    <row r="47" spans="16:16" ht="12" customHeight="1" x14ac:dyDescent="0.25"/>
    <row r="48" spans="16:16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</sheetData>
  <mergeCells count="2">
    <mergeCell ref="C3:G3"/>
    <mergeCell ref="I3:O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7340-E3AC-410A-8AB7-1CE7D7A841BC}">
  <dimension ref="B1:O22"/>
  <sheetViews>
    <sheetView showGridLines="0" zoomScaleNormal="100" workbookViewId="0">
      <selection activeCell="O9" sqref="O9"/>
    </sheetView>
  </sheetViews>
  <sheetFormatPr defaultRowHeight="14.5" x14ac:dyDescent="0.35"/>
  <cols>
    <col min="1" max="1" width="3.26953125" customWidth="1"/>
    <col min="2" max="2" width="24.26953125" customWidth="1"/>
    <col min="8" max="8" width="2.81640625" customWidth="1"/>
    <col min="14" max="14" width="2.453125" customWidth="1"/>
    <col min="15" max="15" width="14" customWidth="1"/>
  </cols>
  <sheetData>
    <row r="1" spans="2:15" ht="15.5" x14ac:dyDescent="0.35">
      <c r="B1" s="3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5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5" x14ac:dyDescent="0.35">
      <c r="B3" s="2"/>
      <c r="C3" s="219" t="s">
        <v>94</v>
      </c>
      <c r="D3" s="219"/>
      <c r="E3" s="219"/>
      <c r="F3" s="219"/>
      <c r="G3" s="219"/>
      <c r="H3" s="6"/>
      <c r="I3" s="219" t="s">
        <v>95</v>
      </c>
      <c r="J3" s="219"/>
      <c r="K3" s="219"/>
      <c r="L3" s="219"/>
      <c r="M3" s="219"/>
      <c r="N3" s="219"/>
      <c r="O3" s="219"/>
    </row>
    <row r="4" spans="2:15" s="151" customFormat="1" ht="15" thickBot="1" x14ac:dyDescent="0.4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6"/>
      <c r="I4" s="8" t="s">
        <v>3</v>
      </c>
      <c r="J4" s="8" t="s">
        <v>4</v>
      </c>
      <c r="K4" s="8" t="s">
        <v>5</v>
      </c>
      <c r="L4" s="8" t="s">
        <v>6</v>
      </c>
      <c r="M4" s="8" t="s">
        <v>7</v>
      </c>
      <c r="N4" s="19"/>
      <c r="O4" s="17" t="s">
        <v>12</v>
      </c>
    </row>
    <row r="5" spans="2:15" x14ac:dyDescent="0.35">
      <c r="B5" s="34" t="str">
        <f>'Production Volume'!B23</f>
        <v>Production Volume: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5" x14ac:dyDescent="0.35">
      <c r="B6" s="2" t="str">
        <f>'Production Volume'!B24</f>
        <v>White Hats</v>
      </c>
      <c r="C6" s="26">
        <f>'Production Volume'!C24</f>
        <v>130.5</v>
      </c>
      <c r="D6" s="26">
        <f>'Production Volume'!D24</f>
        <v>347.5</v>
      </c>
      <c r="E6" s="26">
        <f>'Production Volume'!E24</f>
        <v>334</v>
      </c>
      <c r="F6" s="26">
        <f>'Production Volume'!F24</f>
        <v>112.16666666666663</v>
      </c>
      <c r="G6" s="40">
        <f>'Production Volume'!G24</f>
        <v>924.16666666666663</v>
      </c>
      <c r="H6" s="26"/>
      <c r="I6" s="26">
        <f>'Production Volume'!I24</f>
        <v>144.5</v>
      </c>
      <c r="J6" s="26">
        <f>'Production Volume'!J24</f>
        <v>392.74999999999994</v>
      </c>
      <c r="K6" s="26">
        <f>'Production Volume'!K24</f>
        <v>377.44999999999993</v>
      </c>
      <c r="L6" s="26">
        <f>'Production Volume'!L24</f>
        <v>126.49999999999997</v>
      </c>
      <c r="M6" s="31">
        <f>'Production Volume'!M24</f>
        <v>1041.1999999999998</v>
      </c>
    </row>
    <row r="7" spans="2:15" x14ac:dyDescent="0.35">
      <c r="B7" s="2" t="str">
        <f>'Production Volume'!B25</f>
        <v>Red Hats</v>
      </c>
      <c r="C7" s="26">
        <f>'Production Volume'!C25</f>
        <v>68.5</v>
      </c>
      <c r="D7" s="26">
        <f>'Production Volume'!D25</f>
        <v>178.1</v>
      </c>
      <c r="E7" s="26">
        <f>'Production Volume'!E25</f>
        <v>167.6</v>
      </c>
      <c r="F7" s="26">
        <f>'Production Volume'!F25</f>
        <v>51.766666666666659</v>
      </c>
      <c r="G7" s="40">
        <f>'Production Volume'!G25</f>
        <v>465.96666666666664</v>
      </c>
      <c r="H7" s="26"/>
      <c r="I7" s="26">
        <f>'Production Volume'!I25</f>
        <v>72.033333333333331</v>
      </c>
      <c r="J7" s="26">
        <f>'Production Volume'!J25</f>
        <v>201.29666666666665</v>
      </c>
      <c r="K7" s="26">
        <f>'Production Volume'!K25</f>
        <v>189.40333333333331</v>
      </c>
      <c r="L7" s="26">
        <f>'Production Volume'!L25</f>
        <v>58.36666666666666</v>
      </c>
      <c r="M7" s="31">
        <f>'Production Volume'!M25</f>
        <v>521.09999999999991</v>
      </c>
    </row>
    <row r="8" spans="2:15" ht="13.5" customHeigh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8"/>
    </row>
    <row r="9" spans="2:15" x14ac:dyDescent="0.35">
      <c r="B9" s="34" t="s">
        <v>143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5" x14ac:dyDescent="0.35">
      <c r="B10" s="2" t="s">
        <v>15</v>
      </c>
      <c r="C10" s="2">
        <v>0.3</v>
      </c>
      <c r="D10" s="2">
        <v>0.3</v>
      </c>
      <c r="E10" s="2">
        <v>0.3</v>
      </c>
      <c r="F10" s="2">
        <v>0.3</v>
      </c>
      <c r="G10" s="2">
        <f>F10</f>
        <v>0.3</v>
      </c>
      <c r="H10" s="2"/>
      <c r="I10" s="2">
        <f t="shared" ref="I10:M11" si="0">C10</f>
        <v>0.3</v>
      </c>
      <c r="J10" s="2">
        <f t="shared" si="0"/>
        <v>0.3</v>
      </c>
      <c r="K10" s="2">
        <f t="shared" si="0"/>
        <v>0.3</v>
      </c>
      <c r="L10" s="2">
        <f t="shared" si="0"/>
        <v>0.3</v>
      </c>
      <c r="M10" s="2">
        <f t="shared" si="0"/>
        <v>0.3</v>
      </c>
    </row>
    <row r="11" spans="2:15" x14ac:dyDescent="0.35">
      <c r="B11" s="2" t="s">
        <v>16</v>
      </c>
      <c r="C11" s="2">
        <v>0.3</v>
      </c>
      <c r="D11" s="2">
        <v>0.3</v>
      </c>
      <c r="E11" s="2">
        <v>0.3</v>
      </c>
      <c r="F11" s="2">
        <v>0.3</v>
      </c>
      <c r="G11" s="2">
        <f>F11</f>
        <v>0.3</v>
      </c>
      <c r="H11" s="2"/>
      <c r="I11" s="2">
        <f t="shared" si="0"/>
        <v>0.3</v>
      </c>
      <c r="J11" s="2">
        <f t="shared" si="0"/>
        <v>0.3</v>
      </c>
      <c r="K11" s="2">
        <f t="shared" si="0"/>
        <v>0.3</v>
      </c>
      <c r="L11" s="2">
        <f t="shared" si="0"/>
        <v>0.3</v>
      </c>
      <c r="M11" s="2">
        <f t="shared" si="0"/>
        <v>0.3</v>
      </c>
    </row>
    <row r="12" spans="2:15" ht="12" customHeight="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5" x14ac:dyDescent="0.35">
      <c r="B13" s="34" t="s">
        <v>142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5" x14ac:dyDescent="0.35">
      <c r="B14" s="2" t="s">
        <v>15</v>
      </c>
      <c r="C14" s="2">
        <v>-4</v>
      </c>
      <c r="D14" s="2">
        <v>-4</v>
      </c>
      <c r="E14" s="2">
        <v>-4</v>
      </c>
      <c r="F14" s="2">
        <v>-4</v>
      </c>
      <c r="G14" s="2">
        <v>-4</v>
      </c>
      <c r="H14" s="2"/>
      <c r="I14" s="2">
        <f t="shared" ref="I14:M15" si="1">C14</f>
        <v>-4</v>
      </c>
      <c r="J14" s="2">
        <f t="shared" si="1"/>
        <v>-4</v>
      </c>
      <c r="K14" s="2">
        <f t="shared" si="1"/>
        <v>-4</v>
      </c>
      <c r="L14" s="2">
        <f t="shared" si="1"/>
        <v>-4</v>
      </c>
      <c r="M14" s="2">
        <f t="shared" si="1"/>
        <v>-4</v>
      </c>
    </row>
    <row r="15" spans="2:15" x14ac:dyDescent="0.35">
      <c r="B15" s="2" t="s">
        <v>16</v>
      </c>
      <c r="C15" s="2">
        <v>-5</v>
      </c>
      <c r="D15" s="2">
        <v>-5</v>
      </c>
      <c r="E15" s="2">
        <v>-5</v>
      </c>
      <c r="F15" s="2">
        <v>-5</v>
      </c>
      <c r="G15" s="2">
        <v>-5</v>
      </c>
      <c r="H15" s="2"/>
      <c r="I15" s="2">
        <f t="shared" si="1"/>
        <v>-5</v>
      </c>
      <c r="J15" s="2">
        <f t="shared" si="1"/>
        <v>-5</v>
      </c>
      <c r="K15" s="2">
        <f t="shared" si="1"/>
        <v>-5</v>
      </c>
      <c r="L15" s="2">
        <f t="shared" si="1"/>
        <v>-5</v>
      </c>
      <c r="M15" s="2">
        <f t="shared" si="1"/>
        <v>-5</v>
      </c>
    </row>
    <row r="16" spans="2:15" ht="10.5" customHeight="1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5" x14ac:dyDescent="0.35">
      <c r="B17" s="35" t="s">
        <v>27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2:15" x14ac:dyDescent="0.35">
      <c r="B18" s="36" t="s">
        <v>15</v>
      </c>
      <c r="C18" s="67">
        <f t="shared" ref="C18:F19" si="2">C14*C10*C6</f>
        <v>-156.6</v>
      </c>
      <c r="D18" s="67">
        <f t="shared" si="2"/>
        <v>-417</v>
      </c>
      <c r="E18" s="67">
        <f t="shared" si="2"/>
        <v>-400.8</v>
      </c>
      <c r="F18" s="67">
        <f t="shared" si="2"/>
        <v>-134.59999999999994</v>
      </c>
      <c r="G18" s="63">
        <f>SUM(C18:F18)</f>
        <v>-1109</v>
      </c>
      <c r="H18" s="67"/>
      <c r="I18" s="67">
        <f t="shared" ref="I18:M19" si="3">I6*I10*I14</f>
        <v>-173.4</v>
      </c>
      <c r="J18" s="67">
        <f t="shared" si="3"/>
        <v>-471.2999999999999</v>
      </c>
      <c r="K18" s="67">
        <f t="shared" si="3"/>
        <v>-452.93999999999988</v>
      </c>
      <c r="L18" s="67">
        <f t="shared" si="3"/>
        <v>-151.79999999999995</v>
      </c>
      <c r="M18" s="63">
        <f t="shared" si="3"/>
        <v>-1249.4399999999998</v>
      </c>
    </row>
    <row r="19" spans="2:15" x14ac:dyDescent="0.35">
      <c r="B19" s="36" t="s">
        <v>16</v>
      </c>
      <c r="C19" s="67">
        <f t="shared" si="2"/>
        <v>-102.75</v>
      </c>
      <c r="D19" s="67">
        <f t="shared" si="2"/>
        <v>-267.14999999999998</v>
      </c>
      <c r="E19" s="67">
        <f t="shared" si="2"/>
        <v>-251.39999999999998</v>
      </c>
      <c r="F19" s="67">
        <f t="shared" si="2"/>
        <v>-77.649999999999991</v>
      </c>
      <c r="G19" s="63">
        <f>SUM(C19:F19)</f>
        <v>-698.94999999999993</v>
      </c>
      <c r="H19" s="67"/>
      <c r="I19" s="67">
        <f t="shared" si="3"/>
        <v>-108.05</v>
      </c>
      <c r="J19" s="67">
        <f t="shared" si="3"/>
        <v>-301.94499999999999</v>
      </c>
      <c r="K19" s="67">
        <f t="shared" si="3"/>
        <v>-284.10499999999996</v>
      </c>
      <c r="L19" s="67">
        <f t="shared" si="3"/>
        <v>-87.549999999999983</v>
      </c>
      <c r="M19" s="63">
        <f t="shared" si="3"/>
        <v>-781.64999999999975</v>
      </c>
    </row>
    <row r="20" spans="2:15" x14ac:dyDescent="0.35">
      <c r="B20" s="2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 spans="2:15" ht="15" thickBot="1" x14ac:dyDescent="0.4">
      <c r="B21" s="32" t="s">
        <v>188</v>
      </c>
      <c r="C21" s="32">
        <f>SUM(C18:C19)</f>
        <v>-259.35000000000002</v>
      </c>
      <c r="D21" s="32">
        <f t="shared" ref="D21:M21" si="4">SUM(D18:D19)</f>
        <v>-684.15</v>
      </c>
      <c r="E21" s="32">
        <f t="shared" si="4"/>
        <v>-652.20000000000005</v>
      </c>
      <c r="F21" s="32">
        <f t="shared" si="4"/>
        <v>-212.24999999999994</v>
      </c>
      <c r="G21" s="32">
        <f t="shared" si="4"/>
        <v>-1807.9499999999998</v>
      </c>
      <c r="H21" s="182"/>
      <c r="I21" s="32">
        <f t="shared" si="4"/>
        <v>-281.45</v>
      </c>
      <c r="J21" s="32">
        <f t="shared" si="4"/>
        <v>-773.24499999999989</v>
      </c>
      <c r="K21" s="32">
        <f t="shared" si="4"/>
        <v>-737.04499999999985</v>
      </c>
      <c r="L21" s="32">
        <f t="shared" si="4"/>
        <v>-239.34999999999994</v>
      </c>
      <c r="M21" s="32">
        <f t="shared" si="4"/>
        <v>-2031.0899999999997</v>
      </c>
      <c r="N21" s="138"/>
      <c r="O21" s="179">
        <f>M21/G21-1</f>
        <v>0.1234215547996349</v>
      </c>
    </row>
    <row r="22" spans="2:15" x14ac:dyDescent="0.35"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</sheetData>
  <mergeCells count="2">
    <mergeCell ref="C3:G3"/>
    <mergeCell ref="I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Henry's Hats</vt:lpstr>
      <vt:lpstr>P&amp;L Budgeting</vt:lpstr>
      <vt:lpstr>Sales Budget --&gt;</vt:lpstr>
      <vt:lpstr>Bottom-up Approach</vt:lpstr>
      <vt:lpstr>Top-down Approach</vt:lpstr>
      <vt:lpstr>Volume and Mix Triangulation</vt:lpstr>
      <vt:lpstr>Production Budget --&gt;</vt:lpstr>
      <vt:lpstr>Production Volume</vt:lpstr>
      <vt:lpstr>Direct Materials</vt:lpstr>
      <vt:lpstr>Direct Labor</vt:lpstr>
      <vt:lpstr>Overheads</vt:lpstr>
      <vt:lpstr>Cost of Goods Sold</vt:lpstr>
      <vt:lpstr>SG&amp;A Budget --&gt;</vt:lpstr>
      <vt:lpstr>Payroll Expense</vt:lpstr>
      <vt:lpstr>SG&amp;A Expense</vt:lpstr>
      <vt:lpstr>Balance Sheet Budgeting</vt:lpstr>
      <vt:lpstr>Working Capital</vt:lpstr>
      <vt:lpstr>Fixed Assets</vt:lpstr>
      <vt:lpstr>Loan repayment schedule</vt:lpstr>
      <vt:lpstr>Master Budget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Antoniya Baltova</cp:lastModifiedBy>
  <dcterms:created xsi:type="dcterms:W3CDTF">2016-04-07T21:15:22Z</dcterms:created>
  <dcterms:modified xsi:type="dcterms:W3CDTF">2021-04-01T21:12:43Z</dcterms:modified>
</cp:coreProperties>
</file>