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O:\Documents (2)\2022-23\Budget\Elite\"/>
    </mc:Choice>
  </mc:AlternateContent>
  <xr:revisionPtr revIDLastSave="0" documentId="8_{9D3440AB-244A-402A-BCF5-FFF27902D07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definedNames>
    <definedName name="_xlnm.Print_Area" localSheetId="1">Review!$A$1:$J$422</definedName>
    <definedName name="_xlnm.Print_Titles" localSheetId="1">Review!$4:$7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7" i="2" l="1"/>
  <c r="F337" i="2" s="1"/>
  <c r="D337" i="2"/>
  <c r="D338" i="2"/>
  <c r="F338" i="2" s="1"/>
  <c r="E349" i="2"/>
  <c r="J96" i="2"/>
  <c r="I96" i="2"/>
  <c r="H96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E363" i="2" s="1"/>
  <c r="E373" i="2" s="1"/>
  <c r="H362" i="2"/>
  <c r="F362" i="2"/>
  <c r="D362" i="2"/>
  <c r="I373" i="2"/>
  <c r="G373" i="2"/>
  <c r="G351" i="2"/>
  <c r="E351" i="2"/>
  <c r="D351" i="2"/>
  <c r="G350" i="2"/>
  <c r="E350" i="2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E153" i="2"/>
  <c r="I152" i="2"/>
  <c r="G152" i="2"/>
  <c r="E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H124" i="2" s="1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H109" i="2" s="1"/>
  <c r="J109" i="2" s="1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D339" i="2"/>
  <c r="D342" i="2"/>
  <c r="D341" i="2"/>
  <c r="D340" i="2"/>
  <c r="E342" i="2"/>
  <c r="E341" i="2"/>
  <c r="F341" i="2" s="1"/>
  <c r="E340" i="2"/>
  <c r="F342" i="2" l="1"/>
  <c r="F339" i="2"/>
  <c r="F350" i="2"/>
  <c r="F340" i="2"/>
  <c r="G155" i="2"/>
  <c r="G156" i="2" s="1"/>
  <c r="G246" i="2" s="1"/>
  <c r="F242" i="2"/>
  <c r="G122" i="2"/>
  <c r="F151" i="2" s="1"/>
  <c r="G242" i="2"/>
  <c r="E150" i="2"/>
  <c r="I155" i="2"/>
  <c r="I156" i="2" s="1"/>
  <c r="H246" i="2" s="1"/>
  <c r="I109" i="2"/>
  <c r="G109" i="2"/>
  <c r="E155" i="2"/>
  <c r="D242" i="2"/>
  <c r="H108" i="2"/>
  <c r="I108" i="2" s="1"/>
  <c r="J148" i="2"/>
  <c r="G158" i="2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F343" i="2"/>
  <c r="I48" i="2"/>
  <c r="I47" i="2"/>
  <c r="G48" i="2"/>
  <c r="G47" i="2"/>
  <c r="D48" i="2"/>
  <c r="D47" i="2"/>
  <c r="H48" i="2"/>
  <c r="H47" i="2"/>
  <c r="E48" i="2"/>
  <c r="E47" i="2"/>
  <c r="E302" i="2"/>
  <c r="E301" i="2"/>
  <c r="E300" i="2"/>
  <c r="E285" i="2"/>
  <c r="E284" i="2"/>
  <c r="E283" i="2"/>
  <c r="G159" i="2" l="1"/>
  <c r="J151" i="2"/>
  <c r="I159" i="2"/>
  <c r="J108" i="2"/>
  <c r="I151" i="2"/>
  <c r="E156" i="2"/>
  <c r="F246" i="2" s="1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C42" i="3"/>
  <c r="D42" i="3"/>
  <c r="E42" i="3"/>
  <c r="C43" i="3"/>
  <c r="D43" i="3"/>
  <c r="E43" i="3"/>
  <c r="E41" i="3"/>
  <c r="D41" i="3"/>
  <c r="C41" i="3"/>
  <c r="H26" i="3"/>
  <c r="H25" i="3"/>
  <c r="E26" i="3"/>
  <c r="E27" i="3"/>
  <c r="D26" i="3"/>
  <c r="D27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D295" i="2"/>
  <c r="E316" i="2" l="1"/>
  <c r="G315" i="2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F50" i="2"/>
  <c r="F49" i="2"/>
  <c r="D6" i="2"/>
  <c r="D4" i="2"/>
  <c r="D5" i="2"/>
  <c r="D9" i="2"/>
  <c r="H49" i="2" l="1"/>
  <c r="H53" i="2" s="1"/>
  <c r="G49" i="2"/>
  <c r="F315" i="2"/>
  <c r="D315" i="2"/>
  <c r="F316" i="2"/>
  <c r="F317" i="2"/>
  <c r="D317" i="2"/>
  <c r="B9" i="3"/>
  <c r="D288" i="2"/>
  <c r="D290" i="2"/>
  <c r="B6" i="3"/>
  <c r="H50" i="2"/>
  <c r="G50" i="2"/>
  <c r="B7" i="3"/>
  <c r="G51" i="2"/>
  <c r="H51" i="2"/>
  <c r="B8" i="3"/>
  <c r="G52" i="2"/>
  <c r="H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F41" i="3" s="1"/>
  <c r="H119" i="2"/>
  <c r="G41" i="3" s="1"/>
  <c r="F135" i="2" l="1"/>
  <c r="E58" i="3" s="1"/>
  <c r="E135" i="2"/>
  <c r="D58" i="3" s="1"/>
  <c r="H120" i="2"/>
  <c r="G42" i="3" s="1"/>
  <c r="G120" i="2"/>
  <c r="F42" i="3" s="1"/>
  <c r="H104" i="2"/>
  <c r="J104" i="2" s="1"/>
  <c r="H105" i="2"/>
  <c r="J105" i="2" s="1"/>
  <c r="D65" i="2"/>
  <c r="F59" i="2"/>
  <c r="B105" i="2"/>
  <c r="B106" i="2"/>
  <c r="A27" i="3" s="1"/>
  <c r="B108" i="2"/>
  <c r="B109" i="2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A29" i="3" l="1"/>
  <c r="I95" i="2"/>
  <c r="A30" i="3"/>
  <c r="J95" i="2"/>
  <c r="B120" i="2"/>
  <c r="A26" i="3"/>
  <c r="G25" i="3"/>
  <c r="G26" i="3"/>
  <c r="I26" i="3"/>
  <c r="B67" i="2"/>
  <c r="D72" i="2" s="1"/>
  <c r="A7" i="3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D221" i="2" s="1"/>
  <c r="D233" i="2" s="1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317" i="2" s="1"/>
  <c r="C322" i="2" s="1"/>
  <c r="C285" i="2"/>
  <c r="C289" i="2"/>
  <c r="C296" i="2" s="1"/>
  <c r="C284" i="2"/>
  <c r="G168" i="2"/>
  <c r="E188" i="2" s="1"/>
  <c r="F326" i="2"/>
  <c r="F331" i="2" s="1"/>
  <c r="F266" i="2" s="1"/>
  <c r="F233" i="2"/>
  <c r="C278" i="2"/>
  <c r="A60" i="3"/>
  <c r="E326" i="2"/>
  <c r="E331" i="2" s="1"/>
  <c r="E233" i="2"/>
  <c r="H106" i="2"/>
  <c r="J106" i="2" s="1"/>
  <c r="C297" i="2" l="1"/>
  <c r="C351" i="2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G27" i="3"/>
  <c r="D266" i="2"/>
  <c r="I27" i="3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F134" i="2"/>
  <c r="E57" i="3" s="1"/>
  <c r="E134" i="2"/>
  <c r="D57" i="3" s="1"/>
  <c r="D134" i="2"/>
  <c r="C57" i="3" s="1"/>
  <c r="H352" i="2" l="1"/>
  <c r="E352" i="2"/>
  <c r="H180" i="2"/>
  <c r="G104" i="2"/>
  <c r="D105" i="2" s="1"/>
  <c r="F88" i="2"/>
  <c r="F89" i="2" s="1"/>
  <c r="F74" i="2"/>
  <c r="F75" i="2" s="1"/>
  <c r="F81" i="2"/>
  <c r="F82" i="2" s="1"/>
  <c r="F83" i="2"/>
  <c r="F90" i="2"/>
  <c r="F76" i="2"/>
  <c r="E67" i="2"/>
  <c r="F67" i="2" s="1"/>
  <c r="E66" i="2"/>
  <c r="F66" i="2" s="1"/>
  <c r="E68" i="2"/>
  <c r="F68" i="2" s="1"/>
  <c r="E69" i="2"/>
  <c r="F69" i="2" s="1"/>
  <c r="C26" i="3" l="1"/>
  <c r="G105" i="2"/>
  <c r="D135" i="2"/>
  <c r="C58" i="3" s="1"/>
  <c r="I25" i="3"/>
  <c r="F25" i="3"/>
  <c r="G134" i="2"/>
  <c r="F57" i="3" s="1"/>
  <c r="D106" i="2" l="1"/>
  <c r="F26" i="3"/>
  <c r="G135" i="2"/>
  <c r="F58" i="3" s="1"/>
  <c r="H134" i="2"/>
  <c r="G57" i="3" s="1"/>
  <c r="C27" i="3" l="1"/>
  <c r="G106" i="2"/>
  <c r="D136" i="2"/>
  <c r="C59" i="3" s="1"/>
  <c r="E46" i="3"/>
  <c r="E45" i="3"/>
  <c r="E44" i="3"/>
  <c r="F136" i="2"/>
  <c r="E59" i="3" s="1"/>
  <c r="F27" i="3" l="1"/>
  <c r="B111" i="2"/>
  <c r="H351" i="2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l="1"/>
  <c r="E88" i="2" s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D51" i="2" l="1"/>
  <c r="E51" i="2"/>
  <c r="E81" i="2" s="1"/>
  <c r="I50" i="2"/>
  <c r="C7" i="3"/>
  <c r="G136" i="2"/>
  <c r="F59" i="3" s="1"/>
  <c r="H136" i="2"/>
  <c r="G59" i="3" s="1"/>
  <c r="G178" i="2"/>
  <c r="E192" i="2"/>
  <c r="E76" i="2"/>
  <c r="C49" i="2"/>
  <c r="D30" i="3"/>
  <c r="D46" i="3"/>
  <c r="E49" i="2" l="1"/>
  <c r="E53" i="2" s="1"/>
  <c r="D49" i="2"/>
  <c r="D50" i="2"/>
  <c r="E50" i="2"/>
  <c r="E74" i="2" s="1"/>
  <c r="I49" i="2"/>
  <c r="I53" i="2" s="1"/>
  <c r="J53" i="2" s="1"/>
  <c r="C6" i="3"/>
  <c r="G46" i="3"/>
  <c r="E139" i="2"/>
  <c r="D62" i="3" s="1"/>
  <c r="E75" i="2" l="1"/>
  <c r="E89" i="2"/>
  <c r="E82" i="2"/>
  <c r="G30" i="3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Annette Baker</author>
  </authors>
  <commentList>
    <comment ref="D103" authorId="0" shapeId="0" xr:uid="{430E11E4-C75A-433A-90E8-7A6865570960}">
      <text>
        <r>
          <rPr>
            <b/>
            <sz val="9"/>
            <color rgb="FF000000"/>
            <rFont val="Tahoma"/>
            <family val="2"/>
          </rPr>
          <t>Annette Baker: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Prior Years, use Amounts per Audit report.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current year, use PY Unaudited Actual ending balance.</t>
        </r>
      </text>
    </comment>
    <comment ref="D107" authorId="0" shapeId="0" xr:uid="{678FF03A-296E-457F-B852-493624A216D4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0" shapeId="0" xr:uid="{F8ACD0AA-0429-4062-89D1-B5F0BD481D0D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0" shapeId="0" xr:uid="{F13C5A6B-BBA3-4CC0-A001-6F8B8C00025F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</commentList>
</comments>
</file>

<file path=xl/sharedStrings.xml><?xml version="1.0" encoding="utf-8"?>
<sst xmlns="http://schemas.openxmlformats.org/spreadsheetml/2006/main" count="571" uniqueCount="358">
  <si>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</si>
  <si>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</si>
  <si>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</si>
  <si>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</si>
  <si>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</si>
  <si>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</si>
  <si>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</si>
  <si>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</si>
  <si>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</si>
  <si>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</si>
  <si>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</si>
  <si>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</si>
  <si>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</si>
  <si>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</si>
  <si>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</si>
  <si>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</si>
  <si>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</si>
  <si>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</si>
  <si>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</si>
  <si>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</si>
  <si>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</si>
  <si>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</si>
  <si>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</si>
  <si>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</si>
  <si>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</si>
  <si>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</si>
  <si>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</si>
  <si>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</si>
  <si>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</si>
  <si>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</si>
  <si>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</si>
  <si>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</si>
  <si>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</si>
  <si>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</si>
  <si>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</si>
  <si>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</si>
  <si>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</si>
  <si>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</si>
  <si>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</si>
  <si>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</si>
  <si>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</si>
  <si>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</si>
  <si>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</si>
  <si>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</si>
  <si>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</si>
  <si>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</si>
  <si>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</si>
  <si>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</si>
  <si>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</si>
  <si>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</si>
  <si>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</si>
  <si>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</si>
  <si>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</si>
  <si>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</si>
  <si>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</si>
  <si>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</si>
  <si>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</si>
  <si>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</si>
  <si>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</si>
  <si>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</si>
  <si>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</si>
  <si>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</si>
  <si>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</si>
  <si>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</si>
  <si>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</si>
  <si>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</si>
  <si>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</si>
  <si>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</si>
  <si>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</si>
  <si>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</si>
  <si>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</si>
  <si>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</si>
  <si>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</si>
  <si>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</si>
  <si>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</si>
  <si>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</si>
  <si>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</si>
  <si>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</si>
  <si>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</si>
  <si>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</si>
  <si>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</si>
  <si>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</si>
  <si>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</si>
  <si>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</si>
  <si>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</si>
  <si>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</si>
  <si>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</si>
  <si>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</si>
  <si>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</si>
  <si>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</si>
  <si>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</si>
  <si>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</si>
  <si>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</si>
  <si>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</si>
  <si>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</si>
  <si>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</si>
  <si>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</si>
  <si>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</si>
  <si>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</si>
  <si>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</si>
  <si>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</si>
  <si>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</si>
  <si>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</si>
  <si>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</si>
  <si>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</si>
  <si>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</si>
  <si>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</si>
  <si>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</si>
  <si>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</si>
  <si>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</si>
  <si>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</si>
  <si>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</si>
  <si>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</si>
  <si>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</si>
  <si>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</si>
  <si>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</si>
  <si>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</si>
  <si>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</si>
  <si>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</si>
  <si>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</si>
  <si>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</si>
  <si>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</si>
  <si>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</si>
  <si>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5. Total Unappropriated/Unassigned Reserves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</si>
  <si>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</si>
  <si>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</si>
  <si>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</si>
  <si>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</si>
  <si>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</si>
  <si>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</si>
  <si>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</si>
  <si>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</si>
  <si>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</si>
  <si>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</si>
  <si>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</si>
  <si>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</si>
  <si>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</si>
  <si>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</si>
  <si>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</si>
  <si>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</si>
  <si>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</si>
  <si>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</si>
  <si>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</si>
  <si>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</si>
  <si>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</si>
  <si>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</si>
  <si>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</si>
  <si>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</si>
  <si>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</si>
  <si>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</si>
  <si>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</si>
  <si>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</si>
  <si>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</si>
  <si>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</si>
  <si>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</si>
  <si>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</si>
  <si>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</si>
  <si>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</si>
  <si>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</si>
  <si>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</si>
  <si>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</si>
  <si>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</si>
  <si>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</si>
  <si>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</si>
  <si>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</si>
  <si>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</si>
  <si>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</si>
  <si>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</si>
  <si>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</si>
  <si>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</si>
  <si>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</si>
  <si>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</si>
  <si>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Facility and Admin Services Agreement Assumtions vs Contract and Services Budget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</si>
  <si>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</si>
  <si>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</si>
  <si>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</si>
  <si>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</si>
  <si>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</si>
  <si>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</si>
  <si>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</si>
  <si>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</si>
  <si>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</si>
  <si>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</si>
  <si>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</si>
  <si>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</si>
  <si>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</si>
  <si>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</si>
  <si>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</si>
  <si>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</si>
  <si>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</si>
  <si>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</si>
  <si>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</si>
  <si>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</si>
  <si>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</si>
  <si>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</si>
  <si>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</si>
  <si>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</si>
  <si>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</si>
  <si>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</si>
  <si>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</si>
  <si>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</si>
  <si>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</si>
  <si>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</si>
  <si>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</si>
  <si>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</si>
  <si>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</si>
  <si>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</si>
  <si>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</si>
  <si>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</si>
  <si>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</si>
  <si>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</si>
  <si>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</si>
  <si>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</si>
  <si>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</si>
  <si>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</si>
  <si>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</si>
  <si>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</si>
  <si>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</si>
  <si>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</si>
  <si>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</si>
  <si>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</si>
  <si>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</si>
  <si>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</si>
  <si>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</si>
  <si>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</si>
  <si>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</si>
  <si>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</si>
  <si>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</si>
  <si>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</si>
  <si>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</si>
  <si>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</si>
  <si>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</si>
  <si>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</si>
  <si>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</si>
  <si>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</si>
  <si>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</si>
  <si>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</si>
  <si>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</si>
  <si>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</si>
  <si>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</si>
  <si>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</si>
  <si>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</si>
  <si>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</si>
  <si>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</si>
  <si>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</si>
  <si>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</si>
  <si>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</si>
  <si>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</si>
  <si>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</si>
  <si>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</si>
  <si>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</si>
  <si>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</si>
  <si>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</si>
  <si>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</si>
  <si>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r>
      <t xml:space="preserve">Comments: </t>
    </r>
    <r>
      <rPr>
        <i/>
        <sz val="11"/>
        <rFont val="Verdana"/>
        <family val="2"/>
      </rPr>
      <t>Are deviations from historical averagve or trend explainable?</t>
    </r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</si>
  <si>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</si>
  <si>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</si>
  <si>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</si>
  <si>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</si>
  <si>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</si>
  <si>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Form Originated 05/03/2022</t>
  </si>
  <si>
    <t>Elite Academic Academy - Lucerne</t>
  </si>
  <si>
    <t xml:space="preserve">Adopted Budget </t>
  </si>
  <si>
    <t>2022-23</t>
  </si>
  <si>
    <t>Lucerne Valley USD</t>
  </si>
  <si>
    <t>PY</t>
  </si>
  <si>
    <t>CY</t>
  </si>
  <si>
    <t>SY1</t>
  </si>
  <si>
    <t>SY2</t>
  </si>
  <si>
    <t>Unduplicated Count</t>
  </si>
  <si>
    <t>UPP (Rolling)</t>
  </si>
  <si>
    <t>LCFF</t>
  </si>
  <si>
    <t>Teacher FTE</t>
  </si>
  <si>
    <t>Other Cert FTE</t>
  </si>
  <si>
    <t>Cert Mgt FTE</t>
  </si>
  <si>
    <t>Class FTE</t>
  </si>
  <si>
    <t>Class MGMT FTE</t>
  </si>
  <si>
    <t xml:space="preserve">Teacher Ave salary Per FTE </t>
  </si>
  <si>
    <t>Other Cert Staff salary Per FTE</t>
  </si>
  <si>
    <t>Cert Mgt salary Per FTE</t>
  </si>
  <si>
    <t>Cert Other Pay, Stipends, Extra Pay</t>
  </si>
  <si>
    <t>Class Ave salary Per FTE</t>
  </si>
  <si>
    <t>Class Mgmt Ave salary Per FTE</t>
  </si>
  <si>
    <t>Class Other Pay, Stipends, Extra Pay</t>
  </si>
  <si>
    <t>Class H&amp;W/EE</t>
  </si>
  <si>
    <t>Cert H&amp;W/EE</t>
  </si>
  <si>
    <t>STRS Rate</t>
  </si>
  <si>
    <t>PERS Rate</t>
  </si>
  <si>
    <t>Retirement Cost per Cert Employee</t>
  </si>
  <si>
    <t>Retirement Cost per Class Employee</t>
  </si>
  <si>
    <t>FICA</t>
  </si>
  <si>
    <t>Medi</t>
  </si>
  <si>
    <t>Unemployment</t>
  </si>
  <si>
    <t>Workers Comp</t>
  </si>
  <si>
    <t>Unrestricted FUND BALANCE</t>
  </si>
  <si>
    <t>Beginning Balance at Adopted Budget 9791</t>
  </si>
  <si>
    <t>Adjustments for Unaudited Actuals 9791</t>
  </si>
  <si>
    <t xml:space="preserve">  Beg Fund Balance at Unaudited Actuals</t>
  </si>
  <si>
    <t>Adjustments for Audit 9793</t>
  </si>
  <si>
    <t>Adjustments for Restatements 9795</t>
  </si>
  <si>
    <t xml:space="preserve">  Beginning Fund Balance as per Audit Report +/- Restatements</t>
  </si>
  <si>
    <t>Ending Balance 9790</t>
  </si>
  <si>
    <t>Revolving Cash 9711</t>
  </si>
  <si>
    <t>Stores 9711</t>
  </si>
  <si>
    <t>Prepaid Expenditures 9713</t>
  </si>
  <si>
    <t>All Others 9719</t>
  </si>
  <si>
    <t>Committed - Stabilization Arrangements 9750</t>
  </si>
  <si>
    <t>Committed - Other 9760</t>
  </si>
  <si>
    <t>Assignments 9780</t>
  </si>
  <si>
    <t>Reserve for Ecomonic Uncertainties 9789</t>
  </si>
  <si>
    <t>Undesignated/Unappropriated Amount/Unrestricted Net Position 9790</t>
  </si>
  <si>
    <t>Restricted FUND BALANCE</t>
  </si>
  <si>
    <t>LCFF 8011</t>
  </si>
  <si>
    <t>EPA 8011</t>
  </si>
  <si>
    <t>State Aid - Prior Year 8019</t>
  </si>
  <si>
    <t>In Lieu Property Taxes 8096</t>
  </si>
  <si>
    <t>Reserve Standard (unless different standard identified in MOU)</t>
  </si>
  <si>
    <t>If MOU contains a Reserve Standard other than above</t>
  </si>
  <si>
    <t/>
  </si>
  <si>
    <t>Available Fund Balance %</t>
  </si>
  <si>
    <t>Deficit Spending Standard</t>
  </si>
  <si>
    <t>Deficit Spending %</t>
  </si>
  <si>
    <t>Unrestricted Total Rev and Funding Sources</t>
  </si>
  <si>
    <t>Unrestricted Total Exp and Other Uses</t>
  </si>
  <si>
    <t>Restricted Total Rev and Funding Sources</t>
  </si>
  <si>
    <t>Restricted Total Exp and Other Uses</t>
  </si>
  <si>
    <t>What % of student population is Special Ed</t>
  </si>
  <si>
    <t>Charter under School District, or a member LEA for SELPA services?</t>
  </si>
  <si>
    <t>Other Special Ed Revenue</t>
  </si>
  <si>
    <t>Unrestricted contribution to Special Ed</t>
  </si>
  <si>
    <t>Total Special Ed Funding</t>
  </si>
  <si>
    <t>Special Ed Expenditures</t>
  </si>
  <si>
    <t>Unrestricted Exp</t>
  </si>
  <si>
    <t>Debt Service (see Debt Form)</t>
  </si>
  <si>
    <t>Restricted Exp</t>
  </si>
  <si>
    <t>Rent</t>
  </si>
  <si>
    <t>Electricity</t>
  </si>
  <si>
    <t>Heating (gas)</t>
  </si>
  <si>
    <t>Other</t>
  </si>
  <si>
    <t>Oversight Fees to Sponsor</t>
  </si>
  <si>
    <t>Administive Service Contract</t>
  </si>
  <si>
    <t>Other Contracted costs</t>
  </si>
  <si>
    <t>Debt</t>
  </si>
  <si>
    <t>State School Building Loans</t>
  </si>
  <si>
    <t>Charter School Start-up Loans</t>
  </si>
  <si>
    <t>Other Post Employment Benefits</t>
  </si>
  <si>
    <t>Compensated Absences</t>
  </si>
  <si>
    <t>Bank Line of Credit Loans</t>
  </si>
  <si>
    <t>Municipal Lease</t>
  </si>
  <si>
    <t>Capital Lease</t>
  </si>
  <si>
    <t>Inter-Agency Borrowing</t>
  </si>
  <si>
    <t>Cash Flow</t>
  </si>
  <si>
    <t>Adam Woodard</t>
  </si>
  <si>
    <t>Director of Finance</t>
  </si>
  <si>
    <t xml:space="preserve">(866) 354-8302, Ext. 735 </t>
  </si>
  <si>
    <t>awoodard@eliteacademic.com</t>
  </si>
  <si>
    <t>N/A</t>
  </si>
  <si>
    <t>There is an error in the Data tab. The Debt Schedule shows the debt service payments on the row called "Charter School Start-up Loans", not "State School Building Loans". Furthermore, since the school is on the accrual basis (not modified accrual) the Debt Service 7400-7499 is interest only, which includes intra-year loans, and is not in sync with the Debt Form, which ony addresses debt outstanding at year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</si>
</sst>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50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rgb="FFFF0000"/>
      <name val="Verdan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74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Border="1"/>
    <xf numFmtId="0" fontId="13" fillId="0" borderId="0" xfId="0" applyFont="1"/>
    <xf numFmtId="0" fontId="13" fillId="0" borderId="0" xfId="0" applyFont="1" applyProtection="1"/>
    <xf numFmtId="0" fontId="12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8" fillId="0" borderId="0" xfId="0" applyFont="1" applyBorder="1"/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5" fillId="0" borderId="0" xfId="0" applyFont="1" applyFill="1" applyBorder="1" applyProtection="1">
      <protection locked="0"/>
    </xf>
    <xf numFmtId="0" fontId="16" fillId="0" borderId="0" xfId="0" applyFont="1" applyBorder="1"/>
    <xf numFmtId="4" fontId="18" fillId="0" borderId="0" xfId="0" applyNumberFormat="1" applyFont="1" applyBorder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Border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Fill="1" applyBorder="1" applyAlignment="1">
      <alignment horizontal="center"/>
    </xf>
    <xf numFmtId="0" fontId="18" fillId="0" borderId="9" xfId="0" applyFont="1" applyFill="1" applyBorder="1"/>
    <xf numFmtId="10" fontId="18" fillId="0" borderId="9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0" fontId="20" fillId="0" borderId="0" xfId="0" applyNumberFormat="1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 applyProtection="1">
      <alignment horizontal="center"/>
    </xf>
    <xf numFmtId="0" fontId="35" fillId="0" borderId="0" xfId="0" applyFont="1"/>
    <xf numFmtId="0" fontId="22" fillId="0" borderId="0" xfId="0" applyFont="1" applyBorder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 applyProtection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 applyProtection="1">
      <alignment horizontal="right"/>
    </xf>
    <xf numFmtId="39" fontId="20" fillId="3" borderId="1" xfId="0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Fill="1" applyBorder="1"/>
    <xf numFmtId="0" fontId="18" fillId="0" borderId="19" xfId="0" applyFont="1" applyFill="1" applyBorder="1"/>
    <xf numFmtId="0" fontId="18" fillId="0" borderId="17" xfId="0" applyFont="1" applyFill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21" fillId="0" borderId="0" xfId="0" applyFont="1" applyAlignment="1" applyProtection="1">
      <alignment horizontal="centerContinuous"/>
    </xf>
    <xf numFmtId="0" fontId="4" fillId="0" borderId="0" xfId="0" applyFont="1" applyProtection="1"/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/>
    </xf>
    <xf numFmtId="0" fontId="3" fillId="0" borderId="0" xfId="0" applyFont="1" applyProtection="1"/>
    <xf numFmtId="0" fontId="3" fillId="0" borderId="3" xfId="0" applyFont="1" applyBorder="1" applyProtection="1"/>
    <xf numFmtId="0" fontId="6" fillId="0" borderId="3" xfId="0" applyFont="1" applyBorder="1" applyProtection="1"/>
    <xf numFmtId="0" fontId="5" fillId="0" borderId="3" xfId="0" quotePrefix="1" applyFont="1" applyBorder="1" applyAlignment="1" applyProtection="1">
      <alignment horizontal="left"/>
    </xf>
    <xf numFmtId="0" fontId="6" fillId="0" borderId="3" xfId="0" applyFont="1" applyFill="1" applyBorder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0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12" fillId="0" borderId="0" xfId="0" quotePrefix="1" applyFont="1" applyAlignment="1" applyProtection="1">
      <alignment horizontal="left"/>
    </xf>
    <xf numFmtId="0" fontId="19" fillId="0" borderId="1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4" fontId="5" fillId="0" borderId="3" xfId="0" applyNumberFormat="1" applyFont="1" applyFill="1" applyBorder="1" applyAlignment="1" applyProtection="1">
      <alignment horizontal="left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center"/>
    </xf>
    <xf numFmtId="39" fontId="18" fillId="0" borderId="1" xfId="0" applyNumberFormat="1" applyFont="1" applyFill="1" applyBorder="1" applyAlignment="1" applyProtection="1">
      <alignment horizontal="right"/>
    </xf>
    <xf numFmtId="37" fontId="18" fillId="0" borderId="1" xfId="0" applyNumberFormat="1" applyFont="1" applyFill="1" applyBorder="1" applyAlignment="1" applyProtection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center"/>
    </xf>
    <xf numFmtId="39" fontId="20" fillId="0" borderId="1" xfId="0" applyNumberFormat="1" applyFont="1" applyFill="1" applyBorder="1" applyAlignment="1" applyProtection="1">
      <alignment horizontal="right"/>
    </xf>
    <xf numFmtId="37" fontId="20" fillId="0" borderId="1" xfId="0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39" fontId="20" fillId="0" borderId="13" xfId="0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Fill="1" applyBorder="1" applyAlignment="1" applyProtection="1">
      <alignment horizontal="center"/>
    </xf>
    <xf numFmtId="0" fontId="18" fillId="0" borderId="37" xfId="0" applyFont="1" applyFill="1" applyBorder="1" applyAlignment="1" applyProtection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10" fontId="20" fillId="0" borderId="0" xfId="3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Protection="1"/>
    <xf numFmtId="0" fontId="5" fillId="0" borderId="0" xfId="0" applyFont="1" applyFill="1" applyBorder="1" applyProtection="1"/>
    <xf numFmtId="0" fontId="14" fillId="0" borderId="0" xfId="0" applyFont="1" applyProtection="1"/>
    <xf numFmtId="0" fontId="17" fillId="0" borderId="0" xfId="0" applyFont="1" applyProtection="1"/>
    <xf numFmtId="0" fontId="8" fillId="0" borderId="0" xfId="0" applyFont="1" applyFill="1" applyProtection="1"/>
    <xf numFmtId="37" fontId="18" fillId="0" borderId="15" xfId="0" quotePrefix="1" applyNumberFormat="1" applyFont="1" applyFill="1" applyBorder="1" applyAlignment="1" applyProtection="1">
      <alignment horizontal="right"/>
    </xf>
    <xf numFmtId="37" fontId="18" fillId="0" borderId="15" xfId="0" applyNumberFormat="1" applyFont="1" applyFill="1" applyBorder="1" applyAlignment="1" applyProtection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Fill="1" applyBorder="1" applyAlignment="1" applyProtection="1">
      <alignment horizontal="right"/>
    </xf>
    <xf numFmtId="37" fontId="20" fillId="0" borderId="15" xfId="0" applyNumberFormat="1" applyFont="1" applyFill="1" applyBorder="1" applyAlignment="1" applyProtection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 vertical="center"/>
    </xf>
    <xf numFmtId="0" fontId="20" fillId="0" borderId="16" xfId="0" quotePrefix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/>
    <xf numFmtId="0" fontId="25" fillId="0" borderId="38" xfId="0" applyFont="1" applyFill="1" applyBorder="1" applyAlignment="1" applyProtection="1">
      <alignment wrapText="1"/>
    </xf>
    <xf numFmtId="0" fontId="18" fillId="0" borderId="0" xfId="0" applyFont="1" applyFill="1" applyProtection="1"/>
    <xf numFmtId="0" fontId="20" fillId="0" borderId="0" xfId="0" applyFont="1" applyFill="1" applyAlignment="1" applyProtection="1">
      <alignment horizontal="centerContinuous"/>
    </xf>
    <xf numFmtId="0" fontId="18" fillId="0" borderId="0" xfId="0" applyFont="1" applyFill="1" applyAlignment="1" applyProtection="1">
      <alignment horizontal="centerContinuous"/>
    </xf>
    <xf numFmtId="0" fontId="20" fillId="0" borderId="0" xfId="0" quotePrefix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8" fillId="0" borderId="0" xfId="0" applyFont="1" applyProtection="1"/>
    <xf numFmtId="0" fontId="17" fillId="0" borderId="5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8" fillId="0" borderId="0" xfId="0" applyFont="1" applyBorder="1" applyProtection="1"/>
    <xf numFmtId="0" fontId="8" fillId="0" borderId="1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 applyProtection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0" fontId="20" fillId="0" borderId="13" xfId="0" applyFont="1" applyBorder="1" applyAlignment="1" applyProtection="1">
      <alignment horizontal="center"/>
    </xf>
    <xf numFmtId="37" fontId="20" fillId="0" borderId="15" xfId="2" applyNumberFormat="1" applyFont="1" applyFill="1" applyBorder="1" applyAlignment="1" applyProtection="1">
      <alignment horizontal="right"/>
    </xf>
    <xf numFmtId="0" fontId="20" fillId="0" borderId="1" xfId="0" applyFont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</xf>
    <xf numFmtId="0" fontId="8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41" fontId="20" fillId="0" borderId="0" xfId="0" applyNumberFormat="1" applyFont="1" applyFill="1" applyBorder="1" applyAlignment="1" applyProtection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Fill="1" applyBorder="1" applyAlignment="1" applyProtection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 applyProtection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 applyBorder="1" applyProtection="1"/>
    <xf numFmtId="0" fontId="10" fillId="10" borderId="12" xfId="0" applyFont="1" applyFill="1" applyBorder="1" applyAlignment="1" applyProtection="1">
      <alignment vertical="center"/>
    </xf>
    <xf numFmtId="0" fontId="4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167" fontId="8" fillId="0" borderId="0" xfId="0" applyNumberFormat="1" applyFont="1" applyFill="1" applyBorder="1" applyProtection="1"/>
    <xf numFmtId="0" fontId="20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left" vertical="center" indent="2"/>
    </xf>
    <xf numFmtId="0" fontId="18" fillId="0" borderId="0" xfId="0" applyFont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Border="1" applyAlignment="1" applyProtection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165" fontId="20" fillId="0" borderId="0" xfId="3" applyNumberFormat="1" applyFont="1" applyProtection="1"/>
    <xf numFmtId="167" fontId="19" fillId="0" borderId="0" xfId="0" applyNumberFormat="1" applyFont="1" applyBorder="1" applyProtection="1"/>
    <xf numFmtId="167" fontId="18" fillId="0" borderId="0" xfId="0" applyNumberFormat="1" applyFont="1" applyBorder="1" applyProtection="1"/>
    <xf numFmtId="44" fontId="18" fillId="4" borderId="0" xfId="2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right"/>
    </xf>
    <xf numFmtId="0" fontId="18" fillId="0" borderId="38" xfId="0" applyFont="1" applyFill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left"/>
    </xf>
    <xf numFmtId="0" fontId="14" fillId="0" borderId="0" xfId="0" applyFont="1" applyBorder="1" applyProtection="1"/>
    <xf numFmtId="0" fontId="8" fillId="0" borderId="0" xfId="0" applyFont="1" applyBorder="1" applyProtection="1"/>
    <xf numFmtId="0" fontId="10" fillId="0" borderId="0" xfId="0" applyFont="1" applyAlignment="1" applyProtection="1">
      <alignment horizontal="left"/>
    </xf>
    <xf numFmtId="16" fontId="20" fillId="0" borderId="0" xfId="0" quotePrefix="1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16" fontId="18" fillId="0" borderId="1" xfId="0" applyNumberFormat="1" applyFont="1" applyBorder="1" applyAlignment="1" applyProtection="1">
      <alignment horizontal="center"/>
    </xf>
    <xf numFmtId="16" fontId="20" fillId="0" borderId="1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18" fillId="5" borderId="1" xfId="0" quotePrefix="1" applyNumberFormat="1" applyFont="1" applyFill="1" applyBorder="1" applyAlignment="1" applyProtection="1">
      <alignment horizontal="center"/>
    </xf>
    <xf numFmtId="10" fontId="20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Border="1" applyAlignment="1" applyProtection="1">
      <alignment horizontal="center"/>
    </xf>
    <xf numFmtId="16" fontId="18" fillId="0" borderId="1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44" fontId="18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Fill="1" applyBorder="1" applyAlignment="1" applyProtection="1">
      <alignment horizontal="center"/>
    </xf>
    <xf numFmtId="0" fontId="18" fillId="0" borderId="13" xfId="0" quotePrefix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wrapText="1"/>
    </xf>
    <xf numFmtId="0" fontId="20" fillId="0" borderId="0" xfId="0" applyFont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4" fillId="0" borderId="0" xfId="0" applyFont="1" applyFill="1" applyBorder="1" applyProtection="1"/>
    <xf numFmtId="0" fontId="20" fillId="0" borderId="0" xfId="0" quotePrefix="1" applyFont="1" applyFill="1" applyBorder="1" applyAlignment="1" applyProtection="1">
      <alignment horizontal="center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4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5" fillId="0" borderId="0" xfId="0" applyFont="1" applyBorder="1" applyAlignment="1" applyProtection="1">
      <alignment horizontal="center"/>
    </xf>
    <xf numFmtId="0" fontId="26" fillId="0" borderId="0" xfId="0" applyFont="1" applyProtection="1"/>
    <xf numFmtId="0" fontId="4" fillId="0" borderId="0" xfId="0" applyFont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0" fillId="0" borderId="2" xfId="0" applyFont="1" applyBorder="1" applyAlignment="1" applyProtection="1">
      <alignment horizontal="center"/>
    </xf>
    <xf numFmtId="16" fontId="20" fillId="0" borderId="2" xfId="0" quotePrefix="1" applyNumberFormat="1" applyFont="1" applyBorder="1" applyAlignment="1" applyProtection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 wrapText="1"/>
    </xf>
    <xf numFmtId="167" fontId="18" fillId="0" borderId="1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/>
    </xf>
    <xf numFmtId="167" fontId="18" fillId="0" borderId="46" xfId="0" applyNumberFormat="1" applyFont="1" applyFill="1" applyBorder="1" applyAlignment="1" applyProtection="1">
      <alignment horizontal="center"/>
    </xf>
    <xf numFmtId="167" fontId="18" fillId="0" borderId="45" xfId="0" applyNumberFormat="1" applyFont="1" applyFill="1" applyBorder="1" applyAlignment="1" applyProtection="1">
      <alignment horizontal="center"/>
    </xf>
    <xf numFmtId="167" fontId="18" fillId="0" borderId="47" xfId="0" applyNumberFormat="1" applyFont="1" applyFill="1" applyBorder="1" applyAlignment="1" applyProtection="1">
      <alignment horizontal="center"/>
    </xf>
    <xf numFmtId="0" fontId="20" fillId="0" borderId="0" xfId="0" quotePrefix="1" applyFont="1" applyAlignment="1" applyProtection="1">
      <alignment horizontal="left"/>
    </xf>
    <xf numFmtId="167" fontId="20" fillId="0" borderId="0" xfId="0" applyNumberFormat="1" applyFont="1" applyFill="1" applyBorder="1" applyAlignment="1" applyProtection="1">
      <alignment horizontal="center"/>
    </xf>
    <xf numFmtId="167" fontId="18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wrapText="1"/>
    </xf>
    <xf numFmtId="44" fontId="18" fillId="0" borderId="1" xfId="2" applyFont="1" applyFill="1" applyBorder="1" applyProtection="1"/>
    <xf numFmtId="0" fontId="18" fillId="0" borderId="0" xfId="0" applyFont="1" applyFill="1" applyBorder="1" applyAlignment="1" applyProtection="1">
      <alignment horizontal="center" wrapText="1"/>
    </xf>
    <xf numFmtId="17" fontId="18" fillId="0" borderId="0" xfId="0" quotePrefix="1" applyNumberFormat="1" applyFont="1" applyAlignment="1" applyProtection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vertical="top"/>
    </xf>
    <xf numFmtId="0" fontId="2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2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19" fillId="0" borderId="0" xfId="0" applyFont="1" applyProtection="1"/>
    <xf numFmtId="0" fontId="1" fillId="0" borderId="0" xfId="0" applyFont="1" applyProtection="1"/>
    <xf numFmtId="0" fontId="0" fillId="0" borderId="0" xfId="0" applyProtection="1"/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Fill="1" applyAlignment="1">
      <alignment horizontal="right"/>
    </xf>
    <xf numFmtId="0" fontId="42" fillId="0" borderId="0" xfId="0" applyFont="1"/>
    <xf numFmtId="49" fontId="43" fillId="0" borderId="0" xfId="0" applyNumberFormat="1" applyFont="1" applyAlignment="1" applyProtection="1">
      <alignment horizontal="right"/>
    </xf>
    <xf numFmtId="37" fontId="18" fillId="3" borderId="1" xfId="0" applyNumberFormat="1" applyFont="1" applyFill="1" applyBorder="1" applyAlignment="1" applyProtection="1">
      <alignment horizontal="right"/>
    </xf>
    <xf numFmtId="37" fontId="20" fillId="3" borderId="1" xfId="0" applyNumberFormat="1" applyFont="1" applyFill="1" applyBorder="1" applyAlignment="1" applyProtection="1">
      <alignment horizontal="right"/>
    </xf>
    <xf numFmtId="39" fontId="20" fillId="3" borderId="13" xfId="0" applyNumberFormat="1" applyFont="1" applyFill="1" applyBorder="1" applyAlignment="1" applyProtection="1">
      <alignment horizontal="right"/>
    </xf>
    <xf numFmtId="166" fontId="20" fillId="0" borderId="6" xfId="0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4" fillId="0" borderId="0" xfId="0" applyFont="1" applyFill="1" applyBorder="1" applyAlignment="1" applyProtection="1">
      <alignment horizontal="left" wrapText="1"/>
    </xf>
    <xf numFmtId="167" fontId="18" fillId="0" borderId="1" xfId="0" applyNumberFormat="1" applyFont="1" applyBorder="1"/>
    <xf numFmtId="166" fontId="18" fillId="0" borderId="6" xfId="0" applyNumberFormat="1" applyFont="1" applyBorder="1" applyAlignment="1" applyProtection="1">
      <alignment horizontal="center"/>
    </xf>
    <xf numFmtId="166" fontId="20" fillId="0" borderId="7" xfId="0" applyNumberFormat="1" applyFont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7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16" fontId="18" fillId="5" borderId="1" xfId="0" quotePrefix="1" applyNumberFormat="1" applyFont="1" applyFill="1" applyBorder="1" applyAlignment="1">
      <alignment horizontal="center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7" fontId="8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67" fontId="18" fillId="0" borderId="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10" fillId="0" borderId="0" xfId="0" applyFont="1" applyAlignment="1">
      <alignment vertical="center"/>
    </xf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167" fontId="18" fillId="0" borderId="0" xfId="0" applyNumberFormat="1" applyFont="1"/>
    <xf numFmtId="167" fontId="18" fillId="0" borderId="0" xfId="0" applyNumberFormat="1" applyFont="1" applyAlignment="1">
      <alignment horizont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20" fillId="0" borderId="0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left" wrapText="1"/>
    </xf>
    <xf numFmtId="0" fontId="17" fillId="0" borderId="0" xfId="0" applyFont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 applyProtection="1">
      <alignment horizontal="center" wrapText="1"/>
    </xf>
    <xf numFmtId="16" fontId="20" fillId="0" borderId="2" xfId="0" applyNumberFormat="1" applyFont="1" applyBorder="1" applyAlignment="1" applyProtection="1">
      <alignment horizontal="center" wrapText="1"/>
    </xf>
    <xf numFmtId="16" fontId="20" fillId="0" borderId="53" xfId="0" applyNumberFormat="1" applyFont="1" applyBorder="1" applyAlignment="1" applyProtection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0" fontId="18" fillId="0" borderId="0" xfId="0" applyFont="1" applyAlignment="1" applyProtection="1">
      <alignment horizontal="left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167" fontId="20" fillId="0" borderId="1" xfId="0" applyNumberFormat="1" applyFont="1" applyBorder="1" applyProtection="1"/>
    <xf numFmtId="0" fontId="20" fillId="0" borderId="0" xfId="0" applyFont="1" applyFill="1" applyBorder="1" applyAlignment="1" applyProtection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16" fontId="20" fillId="0" borderId="2" xfId="0" applyNumberFormat="1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Fill="1" applyBorder="1" applyAlignment="1" applyProtection="1">
      <alignment horizontal="left" vertical="top" wrapText="1"/>
    </xf>
    <xf numFmtId="49" fontId="18" fillId="0" borderId="0" xfId="0" applyNumberFormat="1" applyFont="1" applyFill="1" applyBorder="1" applyAlignment="1" applyProtection="1">
      <alignment horizontal="left" vertical="top" wrapText="1"/>
    </xf>
    <xf numFmtId="0" fontId="44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4" fontId="45" fillId="0" borderId="0" xfId="0" applyNumberFormat="1" applyFont="1" applyProtection="1"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38" fontId="45" fillId="0" borderId="0" xfId="0" applyNumberFormat="1" applyFont="1" applyProtection="1">
      <protection locked="0"/>
    </xf>
    <xf numFmtId="37" fontId="45" fillId="0" borderId="0" xfId="0" applyNumberFormat="1" applyFont="1" applyProtection="1">
      <protection locked="0"/>
    </xf>
    <xf numFmtId="10" fontId="45" fillId="0" borderId="0" xfId="3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2" fontId="45" fillId="0" borderId="0" xfId="0" applyNumberFormat="1" applyFont="1" applyProtection="1">
      <protection locked="0"/>
    </xf>
    <xf numFmtId="0" fontId="45" fillId="0" borderId="5" xfId="0" applyFont="1" applyBorder="1" applyProtection="1">
      <protection locked="0"/>
    </xf>
    <xf numFmtId="165" fontId="45" fillId="0" borderId="0" xfId="3" applyNumberFormat="1" applyFont="1" applyProtection="1">
      <protection locked="0"/>
    </xf>
    <xf numFmtId="10" fontId="45" fillId="0" borderId="0" xfId="0" applyNumberFormat="1" applyFont="1" applyProtection="1">
      <protection locked="0"/>
    </xf>
    <xf numFmtId="0" fontId="45" fillId="0" borderId="0" xfId="0" applyFont="1" applyAlignment="1" applyProtection="1">
      <alignment horizontal="left"/>
      <protection locked="0"/>
    </xf>
    <xf numFmtId="170" fontId="45" fillId="0" borderId="0" xfId="3" applyNumberFormat="1" applyFont="1" applyBorder="1" applyProtection="1">
      <protection locked="0"/>
    </xf>
    <xf numFmtId="170" fontId="45" fillId="0" borderId="0" xfId="3" applyNumberFormat="1" applyFont="1" applyProtection="1">
      <protection locked="0"/>
    </xf>
    <xf numFmtId="170" fontId="45" fillId="0" borderId="0" xfId="0" applyNumberFormat="1" applyFont="1" applyProtection="1">
      <protection locked="0"/>
    </xf>
    <xf numFmtId="44" fontId="45" fillId="0" borderId="0" xfId="0" applyNumberFormat="1" applyFont="1" applyAlignment="1" applyProtection="1">
      <alignment horizontal="center"/>
      <protection locked="0"/>
    </xf>
    <xf numFmtId="0" fontId="46" fillId="0" borderId="0" xfId="0" applyFont="1" applyProtection="1">
      <protection locked="0"/>
    </xf>
    <xf numFmtId="44" fontId="46" fillId="0" borderId="0" xfId="0" applyNumberFormat="1" applyFont="1" applyAlignment="1" applyProtection="1">
      <alignment horizontal="center"/>
      <protection locked="0"/>
    </xf>
    <xf numFmtId="41" fontId="45" fillId="0" borderId="0" xfId="0" applyNumberFormat="1" applyFont="1" applyProtection="1">
      <protection locked="0"/>
    </xf>
    <xf numFmtId="9" fontId="45" fillId="0" borderId="0" xfId="3" applyFont="1" applyProtection="1">
      <protection locked="0"/>
    </xf>
    <xf numFmtId="166" fontId="45" fillId="0" borderId="0" xfId="3" applyNumberFormat="1" applyFont="1" applyProtection="1">
      <protection locked="0"/>
    </xf>
    <xf numFmtId="44" fontId="45" fillId="0" borderId="0" xfId="3" applyNumberFormat="1" applyFont="1" applyProtection="1">
      <protection locked="0"/>
    </xf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8" fillId="0" borderId="17" xfId="0" applyFont="1" applyBorder="1" applyAlignment="1" applyProtection="1">
      <alignment horizontal="left"/>
    </xf>
    <xf numFmtId="0" fontId="18" fillId="0" borderId="18" xfId="0" applyFont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 applyProtection="1">
      <alignment horizontal="left"/>
    </xf>
    <xf numFmtId="0" fontId="18" fillId="0" borderId="18" xfId="0" quotePrefix="1" applyFont="1" applyBorder="1" applyAlignment="1" applyProtection="1">
      <alignment horizontal="left"/>
    </xf>
    <xf numFmtId="0" fontId="18" fillId="0" borderId="19" xfId="0" quotePrefix="1" applyFont="1" applyBorder="1" applyAlignment="1" applyProtection="1">
      <alignment horizontal="left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14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" xfId="0" quotePrefix="1" applyNumberFormat="1" applyFont="1" applyFill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 vertical="center"/>
    </xf>
    <xf numFmtId="0" fontId="18" fillId="0" borderId="0" xfId="0" quotePrefix="1" applyFont="1" applyBorder="1" applyAlignment="1" applyProtection="1">
      <alignment horizontal="left" vertical="center"/>
    </xf>
    <xf numFmtId="42" fontId="18" fillId="0" borderId="1" xfId="2" applyNumberFormat="1" applyFont="1" applyFill="1" applyBorder="1" applyAlignment="1" applyProtection="1">
      <alignment horizontal="right"/>
    </xf>
    <xf numFmtId="16" fontId="20" fillId="0" borderId="13" xfId="0" quotePrefix="1" applyNumberFormat="1" applyFont="1" applyBorder="1" applyAlignment="1" applyProtection="1">
      <alignment horizontal="center"/>
    </xf>
    <xf numFmtId="16" fontId="20" fillId="0" borderId="13" xfId="0" applyNumberFormat="1" applyFont="1" applyBorder="1" applyAlignment="1" applyProtection="1">
      <alignment horizontal="center"/>
    </xf>
    <xf numFmtId="16" fontId="20" fillId="0" borderId="1" xfId="0" applyNumberFormat="1" applyFont="1" applyBorder="1" applyAlignment="1" applyProtection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0" borderId="0" xfId="0" applyFont="1" applyAlignment="1" applyProtection="1">
      <alignment horizontal="right"/>
    </xf>
    <xf numFmtId="0" fontId="18" fillId="0" borderId="0" xfId="0" applyFont="1" applyBorder="1" applyAlignment="1" applyProtection="1">
      <alignment horizontal="right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Protection="1"/>
    <xf numFmtId="0" fontId="12" fillId="0" borderId="11" xfId="0" applyFont="1" applyFill="1" applyBorder="1" applyProtection="1"/>
    <xf numFmtId="0" fontId="18" fillId="0" borderId="6" xfId="0" applyFont="1" applyBorder="1" applyAlignment="1" applyProtection="1">
      <alignment horizontal="right"/>
    </xf>
    <xf numFmtId="0" fontId="25" fillId="12" borderId="0" xfId="0" applyFont="1" applyFill="1" applyBorder="1" applyAlignment="1" applyProtection="1">
      <alignment wrapText="1"/>
    </xf>
    <xf numFmtId="0" fontId="20" fillId="0" borderId="17" xfId="0" applyFont="1" applyBorder="1" applyAlignment="1" applyProtection="1">
      <alignment horizontal="center"/>
    </xf>
    <xf numFmtId="0" fontId="20" fillId="0" borderId="18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Border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20" fillId="0" borderId="17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19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center"/>
    </xf>
    <xf numFmtId="49" fontId="18" fillId="9" borderId="12" xfId="0" applyNumberFormat="1" applyFont="1" applyFill="1" applyBorder="1" applyAlignment="1" applyProtection="1">
      <protection locked="0"/>
    </xf>
    <xf numFmtId="49" fontId="18" fillId="9" borderId="11" xfId="0" applyNumberFormat="1" applyFont="1" applyFill="1" applyBorder="1" applyAlignment="1" applyProtection="1">
      <protection locked="0"/>
    </xf>
    <xf numFmtId="0" fontId="4" fillId="8" borderId="0" xfId="0" applyFont="1" applyFill="1" applyBorder="1" applyAlignment="1" applyProtection="1">
      <alignment horizontal="left" vertical="center" wrapText="1"/>
      <protection locked="0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0" fillId="0" borderId="6" xfId="0" applyFont="1" applyBorder="1" applyAlignment="1" applyProtection="1">
      <alignment horizontal="right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49" fontId="20" fillId="0" borderId="0" xfId="0" quotePrefix="1" applyNumberFormat="1" applyFont="1" applyAlignment="1">
      <alignment horizont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0" fontId="18" fillId="0" borderId="17" xfId="0" applyFont="1" applyFill="1" applyBorder="1" applyAlignment="1" applyProtection="1">
      <alignment horizontal="left" vertical="top" wrapText="1"/>
    </xf>
    <xf numFmtId="0" fontId="18" fillId="0" borderId="19" xfId="0" applyFont="1" applyFill="1" applyBorder="1" applyAlignment="1" applyProtection="1">
      <alignment horizontal="left" vertical="top" wrapText="1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 wrapText="1" indent="2"/>
    </xf>
    <xf numFmtId="0" fontId="18" fillId="0" borderId="6" xfId="0" applyFont="1" applyBorder="1" applyAlignment="1" applyProtection="1">
      <alignment horizontal="left" vertical="center" wrapText="1" indent="2"/>
    </xf>
    <xf numFmtId="0" fontId="18" fillId="0" borderId="0" xfId="0" applyFont="1" applyAlignment="1" applyProtection="1">
      <alignment horizontal="left" wrapText="1"/>
    </xf>
    <xf numFmtId="0" fontId="18" fillId="0" borderId="17" xfId="0" applyFont="1" applyBorder="1" applyAlignment="1" applyProtection="1">
      <alignment horizontal="left"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Border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  <xf numFmtId="0" fontId="4" fillId="9" borderId="14" xfId="0" applyFont="1" applyFill="1" applyBorder="1" applyAlignment="1" applyProtection="1">
      <alignment horizontal="center"/>
      <protection locked="0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8" borderId="0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right"/>
    </xf>
    <xf numFmtId="0" fontId="20" fillId="0" borderId="1" xfId="0" quotePrefix="1" applyFont="1" applyFill="1" applyBorder="1" applyAlignment="1" applyProtection="1">
      <alignment horizontal="center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6" fontId="20" fillId="0" borderId="0" xfId="0" quotePrefix="1" applyNumberFormat="1" applyFont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107</c:v>
                </c:pt>
                <c:pt idx="1">
                  <c:v>291</c:v>
                </c:pt>
                <c:pt idx="2">
                  <c:v>340</c:v>
                </c:pt>
                <c:pt idx="3">
                  <c:v>625</c:v>
                </c:pt>
                <c:pt idx="4">
                  <c:v>763.310792780376</c:v>
                </c:pt>
                <c:pt idx="5">
                  <c:v>839.64187205841404</c:v>
                </c:pt>
                <c:pt idx="6">
                  <c:v>923.60605926425546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232.26</c:v>
                </c:pt>
                <c:pt idx="1">
                  <c:v>546.48</c:v>
                </c:pt>
                <c:pt idx="2">
                  <c:v>546.58000000000004</c:v>
                </c:pt>
                <c:pt idx="3">
                  <c:v>675.55</c:v>
                </c:pt>
                <c:pt idx="4">
                  <c:v>870.57</c:v>
                </c:pt>
                <c:pt idx="5">
                  <c:v>957.62700000000007</c:v>
                </c:pt>
                <c:pt idx="6">
                  <c:v>1053.3897000000002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000-EA4C-4914-A55F-D31EFF9D9591}">
  <sheetPr>
    <tabColor rgb="FFFFFF00"/>
  </sheetPr>
  <dimension ref="A1:B29"/>
  <sheetViews>
    <sheetView workbookViewId="0">
      <selection activeCell="B2" sqref="B2"/>
    </sheetView>
  </sheetViews>
  <sheetFormatPr defaultColWidth="8.81640625" defaultRowHeight="12.5" x14ac:dyDescent="0.25"/>
  <cols>
    <col min="1" max="1" width="130" customWidth="1"/>
    <col min="2" max="2" width="11.36328125" bestFit="1" customWidth="1"/>
  </cols>
  <sheetData>
    <row r="1" spans="1:2" ht="13" x14ac:dyDescent="0.3">
      <c r="B1" s="404" t="s">
        <v>260</v>
      </c>
    </row>
    <row r="2" spans="1:2" ht="13" x14ac:dyDescent="0.3">
      <c r="A2" s="105" t="s">
        <v>226</v>
      </c>
    </row>
    <row r="3" spans="1:2" ht="13" x14ac:dyDescent="0.3">
      <c r="A3" s="103" t="s">
        <v>227</v>
      </c>
    </row>
    <row r="4" spans="1:2" x14ac:dyDescent="0.25">
      <c r="A4" s="146" t="s">
        <v>225</v>
      </c>
    </row>
    <row r="6" spans="1:2" ht="13" x14ac:dyDescent="0.3">
      <c r="A6" s="105" t="s">
        <v>228</v>
      </c>
    </row>
    <row r="7" spans="1:2" x14ac:dyDescent="0.25">
      <c r="A7" s="103"/>
    </row>
    <row r="8" spans="1:2" ht="13" x14ac:dyDescent="0.3">
      <c r="A8" s="147" t="s">
        <v>220</v>
      </c>
    </row>
    <row r="9" spans="1:2" x14ac:dyDescent="0.25">
      <c r="A9" s="103" t="s">
        <v>221</v>
      </c>
    </row>
    <row r="11" spans="1:2" x14ac:dyDescent="0.25">
      <c r="A11" s="103" t="s">
        <v>222</v>
      </c>
    </row>
    <row r="13" spans="1:2" x14ac:dyDescent="0.25">
      <c r="A13" s="103" t="s">
        <v>223</v>
      </c>
    </row>
    <row r="15" spans="1:2" x14ac:dyDescent="0.25">
      <c r="A15" s="103" t="s">
        <v>224</v>
      </c>
    </row>
    <row r="18" spans="1:1" ht="13" x14ac:dyDescent="0.3">
      <c r="A18" s="105" t="s">
        <v>230</v>
      </c>
    </row>
    <row r="19" spans="1:1" s="149" customFormat="1" ht="33" customHeight="1" x14ac:dyDescent="0.25">
      <c r="A19" s="148" t="s">
        <v>231</v>
      </c>
    </row>
    <row r="20" spans="1:1" s="149" customFormat="1" ht="19.5" customHeight="1" x14ac:dyDescent="0.25">
      <c r="A20" s="150" t="s">
        <v>229</v>
      </c>
    </row>
    <row r="22" spans="1:1" x14ac:dyDescent="0.25">
      <c r="A22" s="405" t="s">
        <v>239</v>
      </c>
    </row>
    <row r="25" spans="1:1" x14ac:dyDescent="0.25">
      <c r="A25" s="103"/>
    </row>
    <row r="26" spans="1:1" x14ac:dyDescent="0.25">
      <c r="A26" s="103"/>
    </row>
    <row r="27" spans="1:1" x14ac:dyDescent="0.25">
      <c r="A27" s="103"/>
    </row>
    <row r="28" spans="1:1" x14ac:dyDescent="0.25">
      <c r="A28" s="103"/>
    </row>
    <row r="29" spans="1:1" x14ac:dyDescent="0.25">
      <c r="A29" s="103"/>
    </row>
  </sheetData>
  <sheetProtection algorithmName="SHA-512" hashValue="/KEZjoJjq3P9EvEw6GxK5Tr4SKAL919NyHuPpSr9WYEn5qjf2XLw4Gx6UXbscOmRUcXf0cjyh5NyJPCS4VgZMw==" saltValue="G/2E/ylJiE6Gb2alhT93Mg==" spinCount="100000" sheet="1" objects="1" scenarios="1"/>
  <hyperlinks>
    <hyperlink ref="A4" r:id="rId1" xr:uid="{9B4BCB6B-1C8B-4CE9-BF0F-E55C195E65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FFFF"/>
    <pageSetUpPr fitToPage="1"/>
  </sheetPr>
  <dimension ref="A1:DR422"/>
  <sheetViews>
    <sheetView tabSelected="1" view="pageBreakPreview" topLeftCell="D322" zoomScaleNormal="100" zoomScaleSheetLayoutView="100" workbookViewId="0">
      <selection activeCell="E377" sqref="E377"/>
    </sheetView>
  </sheetViews>
  <sheetFormatPr defaultColWidth="9.1796875" defaultRowHeight="17" customHeight="1" x14ac:dyDescent="0.3"/>
  <cols>
    <col min="1" max="1" width="1.6328125" style="1" customWidth="1"/>
    <col min="2" max="2" width="14" style="1" customWidth="1"/>
    <col min="3" max="4" width="20.81640625" style="1" customWidth="1"/>
    <col min="5" max="6" width="20.81640625" style="3" customWidth="1"/>
    <col min="7" max="7" width="22.1796875" style="5" customWidth="1"/>
    <col min="8" max="8" width="19.453125" style="10" customWidth="1"/>
    <col min="9" max="9" width="19.453125" style="5" customWidth="1"/>
    <col min="10" max="10" width="15.6328125" style="1" customWidth="1"/>
    <col min="11" max="11" width="4.81640625" style="1" customWidth="1"/>
    <col min="12" max="12" width="10" style="1" customWidth="1"/>
    <col min="13" max="13" width="9.1796875" style="1" customWidth="1"/>
    <col min="14" max="15" width="9.1796875" style="1"/>
    <col min="16" max="16" width="16.6328125" style="1" customWidth="1"/>
    <col min="17" max="16384" width="9.1796875" style="1"/>
  </cols>
  <sheetData>
    <row r="1" spans="1:122" s="2" customFormat="1" ht="17" customHeight="1" x14ac:dyDescent="0.35">
      <c r="A1" s="151" t="s">
        <v>0</v>
      </c>
      <c r="B1" s="152"/>
      <c r="C1" s="152"/>
      <c r="D1" s="152"/>
      <c r="E1" s="152"/>
      <c r="F1" s="152"/>
      <c r="G1" s="153"/>
      <c r="H1" s="153"/>
      <c r="I1" s="153"/>
      <c r="J1" s="153"/>
      <c r="K1" s="155"/>
      <c r="L1" s="155"/>
      <c r="M1" s="156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</row>
    <row r="2" spans="1:122" s="2" customFormat="1" ht="17" customHeight="1" x14ac:dyDescent="0.35">
      <c r="A2" s="689" t="s">
        <v>1</v>
      </c>
      <c r="B2" s="689"/>
      <c r="C2" s="689"/>
      <c r="D2" s="689"/>
      <c r="E2" s="689"/>
      <c r="F2" s="689"/>
      <c r="G2" s="689"/>
      <c r="H2" s="689"/>
      <c r="I2" s="689"/>
      <c r="J2" s="689"/>
      <c r="K2" s="155"/>
      <c r="L2" s="155"/>
      <c r="M2" s="156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</row>
    <row r="3" spans="1:122" s="2" customFormat="1" ht="17" customHeight="1" x14ac:dyDescent="0.35">
      <c r="A3" s="154"/>
      <c r="B3" s="152"/>
      <c r="C3" s="152"/>
      <c r="D3" s="152"/>
      <c r="E3" s="152"/>
      <c r="F3" s="152"/>
      <c r="G3" s="155"/>
      <c r="H3" s="155"/>
      <c r="I3" s="156"/>
      <c r="J3" s="406" t="str">
        <f>Instructions!B1</f>
        <v>Form Originated 05/03/2022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s="2" customFormat="1" ht="24" customHeight="1" x14ac:dyDescent="0.35">
      <c r="A4" s="158" t="s">
        <v>2</v>
      </c>
      <c r="B4" s="159"/>
      <c r="C4" s="160"/>
      <c r="D4" s="630" t="str">
        <f>Data!A3</f>
        <v>2022-23</v>
      </c>
      <c r="E4" s="631"/>
      <c r="F4" s="631"/>
      <c r="G4" s="632"/>
      <c r="H4" s="15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</row>
    <row r="5" spans="1:122" s="2" customFormat="1" ht="24" customHeight="1" x14ac:dyDescent="0.35">
      <c r="A5" s="161" t="s">
        <v>4</v>
      </c>
      <c r="B5" s="161"/>
      <c r="C5" s="157"/>
      <c r="D5" s="630" t="str">
        <f>Data!A1</f>
        <v>Elite Academic Academy - Lucerne</v>
      </c>
      <c r="E5" s="631"/>
      <c r="F5" s="631"/>
      <c r="G5" s="632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s="2" customFormat="1" ht="24" customHeight="1" x14ac:dyDescent="0.35">
      <c r="A6" s="161" t="s">
        <v>107</v>
      </c>
      <c r="B6" s="161"/>
      <c r="C6" s="157"/>
      <c r="D6" s="630" t="str">
        <f>Data!A4</f>
        <v>Lucerne Valley USD</v>
      </c>
      <c r="E6" s="631"/>
      <c r="F6" s="631"/>
      <c r="G6" s="632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</row>
    <row r="7" spans="1:122" s="2" customFormat="1" ht="17" customHeight="1" thickBot="1" x14ac:dyDescent="0.4">
      <c r="A7" s="162"/>
      <c r="B7" s="162"/>
      <c r="C7" s="163"/>
      <c r="D7" s="162"/>
      <c r="E7" s="180"/>
      <c r="F7" s="180"/>
      <c r="G7" s="164"/>
      <c r="H7" s="181"/>
      <c r="I7" s="182"/>
      <c r="J7" s="165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</row>
    <row r="8" spans="1:122" s="2" customFormat="1" ht="35.25" customHeight="1" thickTop="1" x14ac:dyDescent="0.35">
      <c r="A8" s="161"/>
      <c r="B8" s="161"/>
      <c r="C8" s="157"/>
      <c r="D8" s="161"/>
      <c r="E8" s="166"/>
      <c r="F8" s="167"/>
      <c r="G8" s="168"/>
      <c r="H8" s="169"/>
      <c r="I8" s="170" t="s">
        <v>5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</row>
    <row r="9" spans="1:122" s="2" customFormat="1" ht="17" customHeight="1" x14ac:dyDescent="0.35">
      <c r="A9" s="161" t="s">
        <v>6</v>
      </c>
      <c r="B9" s="161"/>
      <c r="C9" s="157"/>
      <c r="D9" s="657" t="str">
        <f>Data!A2</f>
        <v xml:space="preserve">Adopted Budget </v>
      </c>
      <c r="E9" s="658"/>
      <c r="F9" s="157"/>
      <c r="G9" s="171" t="s">
        <v>9</v>
      </c>
      <c r="H9" s="168"/>
      <c r="I9" s="43" t="s">
        <v>113</v>
      </c>
      <c r="J9" s="169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</row>
    <row r="10" spans="1:122" s="2" customFormat="1" ht="17" customHeight="1" x14ac:dyDescent="0.35">
      <c r="A10" s="155"/>
      <c r="B10" s="157"/>
      <c r="C10" s="157"/>
      <c r="D10" s="183"/>
      <c r="E10" s="166"/>
      <c r="F10" s="157"/>
      <c r="G10" s="171" t="s">
        <v>13</v>
      </c>
      <c r="H10" s="168"/>
      <c r="I10" s="43" t="s">
        <v>113</v>
      </c>
      <c r="J10" s="169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</row>
    <row r="11" spans="1:122" ht="17" customHeight="1" x14ac:dyDescent="0.35">
      <c r="A11" s="155"/>
      <c r="B11" s="155"/>
      <c r="C11" s="155"/>
      <c r="D11" s="183"/>
      <c r="E11" s="172"/>
      <c r="F11" s="172"/>
      <c r="G11" s="171" t="s">
        <v>11</v>
      </c>
      <c r="H11" s="173"/>
      <c r="I11" s="43" t="s">
        <v>113</v>
      </c>
      <c r="J11" s="169"/>
      <c r="K11" s="155"/>
      <c r="L11" s="155"/>
      <c r="M11" s="155"/>
      <c r="N11" s="155"/>
      <c r="O11" s="155"/>
      <c r="P11" s="157"/>
      <c r="Q11" s="157"/>
      <c r="R11" s="157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</row>
    <row r="12" spans="1:122" ht="17" customHeight="1" x14ac:dyDescent="0.35">
      <c r="A12" s="155"/>
      <c r="B12" s="155"/>
      <c r="C12" s="155"/>
      <c r="D12" s="183"/>
      <c r="E12" s="172"/>
      <c r="F12" s="172"/>
      <c r="G12" s="171" t="s">
        <v>15</v>
      </c>
      <c r="H12" s="173"/>
      <c r="I12" s="43" t="s">
        <v>113</v>
      </c>
      <c r="J12" s="16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</row>
    <row r="13" spans="1:122" ht="17" customHeight="1" x14ac:dyDescent="0.35">
      <c r="A13" s="155"/>
      <c r="B13" s="155"/>
      <c r="C13" s="155"/>
      <c r="D13" s="183"/>
      <c r="E13" s="172"/>
      <c r="F13" s="172"/>
      <c r="G13" s="171" t="s">
        <v>14</v>
      </c>
      <c r="H13" s="173"/>
      <c r="I13" s="43" t="s">
        <v>113</v>
      </c>
      <c r="J13" s="169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</row>
    <row r="14" spans="1:122" ht="17" customHeight="1" x14ac:dyDescent="0.35">
      <c r="A14" s="155"/>
      <c r="B14" s="155"/>
      <c r="C14" s="155"/>
      <c r="D14" s="157"/>
      <c r="E14" s="172"/>
      <c r="F14" s="172"/>
      <c r="G14" s="171" t="s">
        <v>7</v>
      </c>
      <c r="H14" s="173"/>
      <c r="I14" s="43" t="s">
        <v>113</v>
      </c>
      <c r="J14" s="169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</row>
    <row r="15" spans="1:122" ht="17" customHeight="1" x14ac:dyDescent="0.35">
      <c r="A15" s="155"/>
      <c r="B15" s="155"/>
      <c r="C15" s="155"/>
      <c r="D15" s="157"/>
      <c r="E15" s="172"/>
      <c r="F15" s="171"/>
      <c r="G15" s="173"/>
      <c r="H15" s="184"/>
      <c r="I15" s="169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</row>
    <row r="16" spans="1:122" ht="17" customHeight="1" x14ac:dyDescent="0.3">
      <c r="A16" s="174" t="s">
        <v>132</v>
      </c>
      <c r="B16" s="175"/>
      <c r="C16" s="175"/>
      <c r="D16" s="185"/>
      <c r="E16" s="185"/>
      <c r="F16" s="186"/>
      <c r="G16" s="168"/>
      <c r="H16" s="168"/>
      <c r="I16" s="168"/>
      <c r="J16" s="17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</row>
    <row r="17" spans="1:122" ht="33.75" customHeight="1" x14ac:dyDescent="0.3">
      <c r="A17" s="174"/>
      <c r="B17" s="175"/>
      <c r="C17" s="692" t="s">
        <v>128</v>
      </c>
      <c r="D17" s="692"/>
      <c r="E17" s="692"/>
      <c r="F17" s="692"/>
      <c r="G17" s="692"/>
      <c r="H17" s="692"/>
      <c r="I17" s="187"/>
      <c r="J17" s="18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</row>
    <row r="18" spans="1:122" ht="29.25" customHeight="1" x14ac:dyDescent="0.3">
      <c r="A18" s="174"/>
      <c r="B18" s="175"/>
      <c r="C18" s="688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688"/>
      <c r="E18" s="688"/>
      <c r="F18" s="688"/>
      <c r="G18" s="688"/>
      <c r="H18" s="688"/>
      <c r="I18" s="188"/>
      <c r="J18" s="188"/>
      <c r="K18" s="155"/>
      <c r="L18" s="155"/>
      <c r="M18" s="214"/>
      <c r="N18" s="214"/>
      <c r="O18" s="214"/>
      <c r="P18" s="214"/>
      <c r="Q18" s="214"/>
      <c r="R18" s="214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</row>
    <row r="19" spans="1:122" ht="15" x14ac:dyDescent="0.3">
      <c r="A19" s="174"/>
      <c r="B19" s="175"/>
      <c r="C19" s="155"/>
      <c r="D19" s="155"/>
      <c r="E19" s="172"/>
      <c r="F19" s="172"/>
      <c r="G19" s="173"/>
      <c r="H19" s="176"/>
      <c r="I19" s="173"/>
      <c r="J19" s="189"/>
      <c r="K19" s="155"/>
      <c r="L19" s="155"/>
      <c r="M19" s="214"/>
      <c r="N19" s="214"/>
      <c r="O19" s="214"/>
      <c r="P19" s="214"/>
      <c r="Q19" s="214"/>
      <c r="R19" s="214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</row>
    <row r="20" spans="1:122" ht="17" customHeight="1" x14ac:dyDescent="0.3">
      <c r="A20" s="177"/>
      <c r="B20" s="178" t="s">
        <v>16</v>
      </c>
      <c r="C20" s="155"/>
      <c r="D20" s="155"/>
      <c r="E20" s="177"/>
      <c r="F20" s="155"/>
      <c r="G20" s="178" t="s">
        <v>17</v>
      </c>
      <c r="H20" s="173"/>
      <c r="I20" s="173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</row>
    <row r="21" spans="1:122" ht="17" customHeight="1" x14ac:dyDescent="0.3">
      <c r="A21" s="8"/>
      <c r="B21" s="179">
        <v>1</v>
      </c>
      <c r="C21" s="654"/>
      <c r="D21" s="655"/>
      <c r="E21" s="655"/>
      <c r="F21" s="656"/>
      <c r="G21" s="690"/>
      <c r="H21" s="690"/>
      <c r="I21" s="690"/>
      <c r="J21" s="691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</row>
    <row r="22" spans="1:122" ht="17" customHeight="1" x14ac:dyDescent="0.3">
      <c r="A22" s="8"/>
      <c r="B22" s="179">
        <v>2</v>
      </c>
      <c r="C22" s="654"/>
      <c r="D22" s="655"/>
      <c r="E22" s="655"/>
      <c r="F22" s="656"/>
      <c r="G22" s="690"/>
      <c r="H22" s="690"/>
      <c r="I22" s="690"/>
      <c r="J22" s="691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</row>
    <row r="23" spans="1:122" s="7" customFormat="1" ht="17" customHeight="1" x14ac:dyDescent="0.3">
      <c r="A23" s="8"/>
      <c r="B23" s="179">
        <v>3</v>
      </c>
      <c r="C23" s="654"/>
      <c r="D23" s="655"/>
      <c r="E23" s="655"/>
      <c r="F23" s="656"/>
      <c r="G23" s="690"/>
      <c r="H23" s="690"/>
      <c r="I23" s="690"/>
      <c r="J23" s="69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spans="1:122" s="7" customFormat="1" ht="17" customHeight="1" x14ac:dyDescent="0.3">
      <c r="A24" s="8"/>
      <c r="B24" s="179">
        <v>4</v>
      </c>
      <c r="C24" s="654"/>
      <c r="D24" s="655"/>
      <c r="E24" s="655"/>
      <c r="F24" s="656"/>
      <c r="G24" s="690"/>
      <c r="H24" s="690"/>
      <c r="I24" s="690"/>
      <c r="J24" s="69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spans="1:122" s="7" customFormat="1" ht="17" customHeight="1" x14ac:dyDescent="0.3">
      <c r="A25" s="8"/>
      <c r="B25" s="179">
        <v>5</v>
      </c>
      <c r="C25" s="654"/>
      <c r="D25" s="655"/>
      <c r="E25" s="655"/>
      <c r="F25" s="656"/>
      <c r="G25" s="690"/>
      <c r="H25" s="690"/>
      <c r="I25" s="690"/>
      <c r="J25" s="69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spans="1:122" s="7" customFormat="1" ht="17" customHeight="1" x14ac:dyDescent="0.3">
      <c r="A26" s="8"/>
      <c r="B26" s="179">
        <v>6</v>
      </c>
      <c r="C26" s="654"/>
      <c r="D26" s="655"/>
      <c r="E26" s="655"/>
      <c r="F26" s="656"/>
      <c r="G26" s="690"/>
      <c r="H26" s="690"/>
      <c r="I26" s="690"/>
      <c r="J26" s="69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spans="1:122" s="7" customFormat="1" ht="17" customHeight="1" x14ac:dyDescent="0.3">
      <c r="A27" s="8"/>
      <c r="B27" s="179">
        <v>7</v>
      </c>
      <c r="C27" s="654"/>
      <c r="D27" s="655"/>
      <c r="E27" s="655"/>
      <c r="F27" s="656"/>
      <c r="G27" s="690"/>
      <c r="H27" s="690"/>
      <c r="I27" s="690"/>
      <c r="J27" s="69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spans="1:122" s="24" customFormat="1" ht="17" customHeight="1" x14ac:dyDescent="0.3">
      <c r="B28" s="25"/>
      <c r="E28" s="26"/>
      <c r="F28" s="26"/>
      <c r="G28" s="27"/>
      <c r="H28" s="28"/>
      <c r="I28" s="27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</row>
    <row r="29" spans="1:122" s="24" customFormat="1" ht="17" customHeight="1" x14ac:dyDescent="0.3">
      <c r="B29" s="25"/>
      <c r="E29" s="26"/>
      <c r="F29" s="26"/>
      <c r="G29" s="27"/>
      <c r="H29" s="28"/>
      <c r="I29" s="27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</row>
    <row r="30" spans="1:122" s="24" customFormat="1" ht="17" customHeight="1" x14ac:dyDescent="0.3">
      <c r="B30" s="25"/>
      <c r="C30" s="45" t="s">
        <v>18</v>
      </c>
      <c r="D30" s="733" t="s">
        <v>352</v>
      </c>
      <c r="E30" s="678"/>
      <c r="F30" s="678"/>
      <c r="G30" s="679"/>
      <c r="H30" s="28"/>
      <c r="I30" s="2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</row>
    <row r="31" spans="1:122" s="24" customFormat="1" ht="17" customHeight="1" x14ac:dyDescent="0.3">
      <c r="B31" s="25"/>
      <c r="C31" s="45" t="s">
        <v>19</v>
      </c>
      <c r="D31" s="733" t="s">
        <v>353</v>
      </c>
      <c r="E31" s="678"/>
      <c r="F31" s="678"/>
      <c r="G31" s="679"/>
      <c r="H31" s="28"/>
      <c r="I31" s="27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</row>
    <row r="32" spans="1:122" s="24" customFormat="1" ht="17" customHeight="1" x14ac:dyDescent="0.3">
      <c r="B32" s="25"/>
      <c r="C32" s="45" t="s">
        <v>20</v>
      </c>
      <c r="D32" s="734">
        <v>44735</v>
      </c>
      <c r="E32" s="678"/>
      <c r="F32" s="678"/>
      <c r="G32" s="679"/>
      <c r="H32" s="28"/>
      <c r="I32" s="27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</row>
    <row r="33" spans="1:122" s="24" customFormat="1" ht="17" customHeight="1" x14ac:dyDescent="0.3">
      <c r="B33" s="25"/>
      <c r="C33" s="45" t="s">
        <v>21</v>
      </c>
      <c r="D33" s="733" t="s">
        <v>354</v>
      </c>
      <c r="E33" s="678"/>
      <c r="F33" s="678"/>
      <c r="G33" s="679"/>
      <c r="H33" s="28"/>
      <c r="I33" s="27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</row>
    <row r="34" spans="1:122" s="24" customFormat="1" ht="17" customHeight="1" x14ac:dyDescent="0.3">
      <c r="B34" s="25"/>
      <c r="C34" s="45" t="s">
        <v>22</v>
      </c>
      <c r="D34" s="677" t="s">
        <v>355</v>
      </c>
      <c r="E34" s="678"/>
      <c r="F34" s="678"/>
      <c r="G34" s="679"/>
      <c r="H34" s="28"/>
      <c r="I34" s="27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</row>
    <row r="35" spans="1:122" s="24" customFormat="1" ht="17" customHeight="1" x14ac:dyDescent="0.3">
      <c r="B35" s="25"/>
      <c r="C35" s="45"/>
      <c r="D35" s="56"/>
      <c r="E35" s="56"/>
      <c r="F35" s="56"/>
      <c r="G35" s="56"/>
      <c r="H35" s="28"/>
      <c r="I35" s="27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</row>
    <row r="36" spans="1:122" s="24" customFormat="1" ht="17" customHeight="1" x14ac:dyDescent="0.3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</row>
    <row r="37" spans="1:122" s="24" customFormat="1" ht="17" customHeight="1" x14ac:dyDescent="0.3">
      <c r="B37" s="25"/>
      <c r="E37" s="26"/>
      <c r="F37" s="26"/>
      <c r="G37" s="27"/>
      <c r="H37" s="28"/>
      <c r="I37" s="27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</row>
    <row r="38" spans="1:122" ht="17" customHeight="1" x14ac:dyDescent="0.3">
      <c r="A38" s="65" t="s">
        <v>203</v>
      </c>
      <c r="B38" s="66"/>
      <c r="C38" s="66"/>
      <c r="D38" s="67"/>
      <c r="E38" s="67"/>
      <c r="F38" s="67"/>
      <c r="G38" s="68"/>
      <c r="H38" s="69"/>
      <c r="I38" s="69"/>
      <c r="J38" s="67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</row>
    <row r="39" spans="1:122" ht="17" customHeight="1" x14ac:dyDescent="0.3">
      <c r="A39" s="9"/>
      <c r="B39" s="6"/>
      <c r="C39" s="6"/>
      <c r="G39" s="40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</row>
    <row r="40" spans="1:122" s="64" customFormat="1" ht="19.5" customHeight="1" x14ac:dyDescent="0.25">
      <c r="A40" s="60" t="s">
        <v>23</v>
      </c>
      <c r="B40" s="61"/>
      <c r="C40" s="61"/>
      <c r="D40" s="62"/>
      <c r="E40" s="62"/>
      <c r="F40" s="63" t="s">
        <v>24</v>
      </c>
      <c r="G40" s="61"/>
      <c r="H40" s="61"/>
      <c r="I40" s="61"/>
      <c r="J40" s="61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</row>
    <row r="41" spans="1:122" s="73" customFormat="1" ht="9" customHeight="1" x14ac:dyDescent="0.25">
      <c r="A41" s="71"/>
      <c r="B41" s="72"/>
      <c r="C41" s="72"/>
      <c r="D41" s="115"/>
      <c r="E41" s="115"/>
      <c r="F41" s="116"/>
      <c r="G41" s="72"/>
      <c r="H41" s="72"/>
      <c r="I41" s="72"/>
      <c r="J41" s="72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</row>
    <row r="42" spans="1:122" s="73" customFormat="1" ht="19.5" customHeight="1" x14ac:dyDescent="0.25">
      <c r="A42" s="71"/>
      <c r="B42" s="707" t="s">
        <v>233</v>
      </c>
      <c r="C42" s="707"/>
      <c r="D42" s="707"/>
      <c r="E42" s="707"/>
      <c r="F42" s="707"/>
      <c r="G42" s="707"/>
      <c r="H42" s="707"/>
      <c r="I42" s="707"/>
      <c r="J42" s="72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</row>
    <row r="43" spans="1:122" ht="7.5" customHeight="1" x14ac:dyDescent="0.3">
      <c r="A43" s="11"/>
      <c r="D43" s="4"/>
      <c r="E43" s="4"/>
      <c r="F43" s="12"/>
      <c r="G43" s="6"/>
      <c r="H43" s="1"/>
      <c r="I43" s="1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</row>
    <row r="44" spans="1:122" s="4" customFormat="1" ht="17" customHeight="1" x14ac:dyDescent="0.3">
      <c r="B44" s="92" t="s">
        <v>25</v>
      </c>
      <c r="C44" s="82"/>
      <c r="D44" s="82"/>
      <c r="E44" s="83"/>
      <c r="F44" s="84"/>
      <c r="G44" s="85"/>
      <c r="H44" s="82"/>
      <c r="I44" s="86"/>
      <c r="J44" s="106" t="s">
        <v>29</v>
      </c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</row>
    <row r="45" spans="1:122" s="4" customFormat="1" ht="17" customHeight="1" x14ac:dyDescent="0.3">
      <c r="B45" s="87"/>
      <c r="C45" s="78" t="s">
        <v>108</v>
      </c>
      <c r="D45" s="88" t="s">
        <v>117</v>
      </c>
      <c r="E45" s="89"/>
      <c r="F45" s="90" t="s">
        <v>27</v>
      </c>
      <c r="G45" s="88" t="s">
        <v>28</v>
      </c>
      <c r="H45" s="89"/>
      <c r="I45" s="91" t="s">
        <v>29</v>
      </c>
      <c r="J45" s="114" t="s">
        <v>145</v>
      </c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</row>
    <row r="46" spans="1:122" s="4" customFormat="1" ht="17" customHeight="1" x14ac:dyDescent="0.3">
      <c r="B46" s="87" t="s">
        <v>194</v>
      </c>
      <c r="C46" s="121">
        <v>232.26</v>
      </c>
      <c r="D46" s="122"/>
      <c r="E46" s="123"/>
      <c r="F46" s="126">
        <v>107</v>
      </c>
      <c r="G46" s="100"/>
      <c r="H46" s="99"/>
      <c r="I46" s="99"/>
      <c r="J46" s="10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</row>
    <row r="47" spans="1:122" s="4" customFormat="1" ht="17" customHeight="1" x14ac:dyDescent="0.3">
      <c r="B47" s="87" t="s">
        <v>3</v>
      </c>
      <c r="C47" s="121">
        <v>546.48</v>
      </c>
      <c r="D47" s="124">
        <f>IF(C46&lt;&gt;0,(IF(C47&lt;&gt;0,C47-C46,"")),"")</f>
        <v>314.22000000000003</v>
      </c>
      <c r="E47" s="399">
        <f>IF(C46&lt;&gt;0,(IF(C47&lt;&gt;0,(C47-C46)/C47,"")),"")</f>
        <v>0.57498902064119461</v>
      </c>
      <c r="F47" s="126">
        <v>291</v>
      </c>
      <c r="G47" s="407">
        <f>IF(F46&lt;&gt;0,(IF(F47&lt;&gt;0,F47-F46,"")),"")</f>
        <v>184</v>
      </c>
      <c r="H47" s="80">
        <f>IF(F46&lt;&gt;0,(IF(F47&lt;&gt;0,(F47-F46)/F47,"")),"")</f>
        <v>0.63230240549828176</v>
      </c>
      <c r="I47" s="81">
        <f t="shared" ref="I47:I52" si="0">IF(F47&lt;&gt;0,C47/F47,"")</f>
        <v>1.877938144329897</v>
      </c>
      <c r="J47" s="108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</row>
    <row r="48" spans="1:122" s="4" customFormat="1" ht="17" customHeight="1" x14ac:dyDescent="0.3">
      <c r="B48" s="190" t="s">
        <v>36</v>
      </c>
      <c r="C48" s="121">
        <v>546.58000000000004</v>
      </c>
      <c r="D48" s="124">
        <f t="shared" ref="D48:D52" si="1">IF(C47&lt;&gt;0,(IF(C48&lt;&gt;0,C48-C47,"")),"")</f>
        <v>0.10000000000002274</v>
      </c>
      <c r="E48" s="399">
        <f t="shared" ref="E48:E52" si="2">IF(C47&lt;&gt;0,(IF(C48&lt;&gt;0,(C48-C47)/C48,"")),"")</f>
        <v>1.8295583446160257E-4</v>
      </c>
      <c r="F48" s="126">
        <v>340</v>
      </c>
      <c r="G48" s="407">
        <f t="shared" ref="G48:G52" si="3">IF(F47&lt;&gt;0,(IF(F48&lt;&gt;0,F48-F47,"")),"")</f>
        <v>49</v>
      </c>
      <c r="H48" s="80">
        <f t="shared" ref="H48:H52" si="4">IF(F47&lt;&gt;0,(IF(F48&lt;&gt;0,(F48-F47)/F48,"")),"")</f>
        <v>0.14411764705882352</v>
      </c>
      <c r="I48" s="81">
        <f t="shared" si="0"/>
        <v>1.6075882352941178</v>
      </c>
      <c r="J48" s="108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</row>
    <row r="49" spans="1:122" s="4" customFormat="1" ht="17" customHeight="1" x14ac:dyDescent="0.3">
      <c r="B49" s="190" t="s">
        <v>234</v>
      </c>
      <c r="C49" s="191">
        <f>Data!B6</f>
        <v>675.55</v>
      </c>
      <c r="D49" s="124">
        <f t="shared" si="1"/>
        <v>128.96999999999991</v>
      </c>
      <c r="E49" s="400">
        <f t="shared" si="2"/>
        <v>0.19091110946636064</v>
      </c>
      <c r="F49" s="192">
        <f>Data!B7</f>
        <v>625</v>
      </c>
      <c r="G49" s="407">
        <f t="shared" si="3"/>
        <v>285</v>
      </c>
      <c r="H49" s="193">
        <f t="shared" si="4"/>
        <v>0.45600000000000002</v>
      </c>
      <c r="I49" s="194">
        <f t="shared" si="0"/>
        <v>1.0808799999999998</v>
      </c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</row>
    <row r="50" spans="1:122" s="4" customFormat="1" ht="17" customHeight="1" x14ac:dyDescent="0.3">
      <c r="B50" s="196" t="str">
        <f>D4</f>
        <v>2022-23</v>
      </c>
      <c r="C50" s="197">
        <f>Data!C6</f>
        <v>870.57</v>
      </c>
      <c r="D50" s="125">
        <f t="shared" si="1"/>
        <v>195.0200000000001</v>
      </c>
      <c r="E50" s="401">
        <f t="shared" si="2"/>
        <v>0.22401415164777111</v>
      </c>
      <c r="F50" s="198">
        <f>Data!C7</f>
        <v>763.310792780376</v>
      </c>
      <c r="G50" s="408">
        <f t="shared" si="3"/>
        <v>138.310792780376</v>
      </c>
      <c r="H50" s="199">
        <f t="shared" si="4"/>
        <v>0.18119852894595656</v>
      </c>
      <c r="I50" s="200">
        <f t="shared" si="0"/>
        <v>1.1405183946488298</v>
      </c>
      <c r="J50" s="199" t="str">
        <f>IF(J53="Insufficient History","",IF(I50&gt;$J$53,"Not Met","Meets"))</f>
        <v>Meets</v>
      </c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</row>
    <row r="51" spans="1:122" s="4" customFormat="1" ht="17" customHeight="1" x14ac:dyDescent="0.3">
      <c r="B51" s="196" t="s">
        <v>195</v>
      </c>
      <c r="C51" s="197">
        <f>Data!D6</f>
        <v>957.62700000000007</v>
      </c>
      <c r="D51" s="125">
        <f t="shared" si="1"/>
        <v>87.057000000000016</v>
      </c>
      <c r="E51" s="401">
        <f t="shared" si="2"/>
        <v>9.0909090909090925E-2</v>
      </c>
      <c r="F51" s="198">
        <f>Data!D7</f>
        <v>839.64187205841404</v>
      </c>
      <c r="G51" s="408">
        <f t="shared" si="3"/>
        <v>76.331079278038032</v>
      </c>
      <c r="H51" s="199">
        <f t="shared" si="4"/>
        <v>9.0909090909091383E-2</v>
      </c>
      <c r="I51" s="200">
        <f t="shared" si="0"/>
        <v>1.1405183946488293</v>
      </c>
      <c r="J51" s="199" t="str">
        <f>IF(J53="Insufficient History","",IF(I51&gt;$J$53,"Not Met","Meets"))</f>
        <v>Meets</v>
      </c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</row>
    <row r="52" spans="1:122" s="4" customFormat="1" ht="17" customHeight="1" thickBot="1" x14ac:dyDescent="0.35">
      <c r="B52" s="201" t="s">
        <v>240</v>
      </c>
      <c r="C52" s="202">
        <f>Data!E6</f>
        <v>1053.3897000000002</v>
      </c>
      <c r="D52" s="409">
        <f t="shared" si="1"/>
        <v>95.762700000000109</v>
      </c>
      <c r="E52" s="402">
        <f t="shared" si="2"/>
        <v>9.0909090909090995E-2</v>
      </c>
      <c r="F52" s="198">
        <f>Data!E7</f>
        <v>923.60605926425546</v>
      </c>
      <c r="G52" s="408">
        <f t="shared" si="3"/>
        <v>83.964187205841426</v>
      </c>
      <c r="H52" s="203">
        <f t="shared" si="4"/>
        <v>9.0909090909090925E-2</v>
      </c>
      <c r="I52" s="204">
        <f t="shared" si="0"/>
        <v>1.1405183946488293</v>
      </c>
      <c r="J52" s="199" t="str">
        <f>IF(J53="Insufficient History","",IF(I52&gt;$J$53,"Not Met","Meets"))</f>
        <v>Meets</v>
      </c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</row>
    <row r="53" spans="1:122" ht="30.75" customHeight="1" thickBot="1" x14ac:dyDescent="0.35">
      <c r="A53" s="16"/>
      <c r="B53" s="205"/>
      <c r="C53" s="680" t="s">
        <v>114</v>
      </c>
      <c r="D53" s="681"/>
      <c r="E53" s="206">
        <f>IF(E47="","Insufficient History",SUM(E47:E49)/3)</f>
        <v>0.25536102864733895</v>
      </c>
      <c r="F53" s="207"/>
      <c r="G53" s="205"/>
      <c r="H53" s="206">
        <f>IF(H47="","Insufficient History",SUM(H47:H49)/3)</f>
        <v>0.41080668418570171</v>
      </c>
      <c r="I53" s="206">
        <f>IF(I47="","Insufficient History",SUM(I47:I49)/3)</f>
        <v>1.5221354598746715</v>
      </c>
      <c r="J53" s="208">
        <f>IF(I53="Insufficient History","Insufficient History",I53+0.005)</f>
        <v>1.5271354598746714</v>
      </c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</row>
    <row r="54" spans="1:122" ht="10.5" customHeight="1" thickBot="1" x14ac:dyDescent="0.35">
      <c r="A54" s="16"/>
      <c r="B54" s="209"/>
      <c r="C54" s="210"/>
      <c r="D54" s="211"/>
      <c r="E54" s="212"/>
      <c r="F54" s="213"/>
      <c r="G54" s="209"/>
      <c r="H54" s="212"/>
      <c r="I54" s="21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</row>
    <row r="55" spans="1:122" ht="17" customHeight="1" thickBot="1" x14ac:dyDescent="0.35">
      <c r="A55" s="16"/>
      <c r="B55" s="685" t="s">
        <v>212</v>
      </c>
      <c r="C55" s="686"/>
      <c r="D55" s="686"/>
      <c r="E55" s="686"/>
      <c r="F55" s="686"/>
      <c r="G55" s="686"/>
      <c r="H55" s="686"/>
      <c r="I55" s="686"/>
      <c r="J55" s="687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</row>
    <row r="56" spans="1:122" ht="37.5" customHeight="1" x14ac:dyDescent="0.3">
      <c r="A56" s="16"/>
      <c r="B56" s="682"/>
      <c r="C56" s="683"/>
      <c r="D56" s="683"/>
      <c r="E56" s="683"/>
      <c r="F56" s="683"/>
      <c r="G56" s="683"/>
      <c r="H56" s="683"/>
      <c r="I56" s="683"/>
      <c r="J56" s="684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</row>
    <row r="57" spans="1:122" ht="17" customHeight="1" x14ac:dyDescent="0.3">
      <c r="A57" s="16"/>
      <c r="B57" s="36"/>
      <c r="C57" s="38"/>
      <c r="D57" s="74"/>
      <c r="E57" s="75"/>
      <c r="F57" s="79"/>
      <c r="G57" s="36"/>
      <c r="H57" s="75"/>
      <c r="I57" s="7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</row>
    <row r="58" spans="1:122" ht="17" customHeight="1" x14ac:dyDescent="0.3">
      <c r="A58" s="16"/>
      <c r="B58" s="76" t="str">
        <f>B50&amp;" Certified CBEDS (if available)"</f>
        <v>2022-23 Certified CBEDS (if available)</v>
      </c>
      <c r="C58" s="38"/>
      <c r="D58" s="74"/>
      <c r="E58" s="75"/>
      <c r="F58" s="127"/>
      <c r="G58" s="36"/>
      <c r="H58" s="75"/>
      <c r="I58" s="7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</row>
    <row r="59" spans="1:122" ht="17" customHeight="1" x14ac:dyDescent="0.3">
      <c r="A59" s="16"/>
      <c r="B59" s="77" t="s">
        <v>111</v>
      </c>
      <c r="C59" s="38"/>
      <c r="D59" s="74"/>
      <c r="E59" s="75"/>
      <c r="F59" s="78" t="str">
        <f>IF(F58="","", IF(F58=F50,"Equal", "Not Equal"))</f>
        <v/>
      </c>
      <c r="G59" s="36"/>
      <c r="H59" s="75"/>
      <c r="I59" s="7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</row>
    <row r="60" spans="1:122" ht="17" customHeight="1" x14ac:dyDescent="0.3">
      <c r="A60" s="16"/>
      <c r="B60" s="36"/>
      <c r="C60" s="38"/>
      <c r="D60" s="74"/>
      <c r="E60" s="75"/>
      <c r="F60" s="79"/>
      <c r="G60" s="36"/>
      <c r="H60" s="75"/>
      <c r="I60" s="7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</row>
    <row r="61" spans="1:122" ht="17" customHeight="1" x14ac:dyDescent="0.3">
      <c r="A61" s="16"/>
      <c r="B61" s="76" t="s">
        <v>30</v>
      </c>
      <c r="C61" s="38"/>
      <c r="D61" s="74"/>
      <c r="E61" s="96"/>
      <c r="F61" s="79"/>
      <c r="G61" s="492" t="s">
        <v>112</v>
      </c>
      <c r="H61" s="75"/>
      <c r="I61" s="7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</row>
    <row r="62" spans="1:122" ht="17" customHeight="1" x14ac:dyDescent="0.3">
      <c r="A62" s="16"/>
      <c r="B62" s="77" t="s">
        <v>31</v>
      </c>
      <c r="C62" s="38"/>
      <c r="D62" s="74"/>
      <c r="E62" s="117" t="s">
        <v>115</v>
      </c>
      <c r="F62" s="1"/>
      <c r="G62" s="128"/>
      <c r="H62" s="75"/>
      <c r="I62" s="7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</row>
    <row r="63" spans="1:122" ht="17" customHeight="1" thickBot="1" x14ac:dyDescent="0.35">
      <c r="A63" s="16"/>
      <c r="B63" s="36"/>
      <c r="C63" s="38"/>
      <c r="D63" s="74"/>
      <c r="E63" s="75"/>
      <c r="F63" s="79"/>
      <c r="G63" s="36"/>
      <c r="H63" s="75"/>
      <c r="I63" s="7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</row>
    <row r="64" spans="1:122" ht="33.75" customHeight="1" thickBot="1" x14ac:dyDescent="0.35">
      <c r="A64" s="16"/>
      <c r="B64" s="36"/>
      <c r="C64" s="94" t="s">
        <v>32</v>
      </c>
      <c r="D64" s="95" t="s">
        <v>33</v>
      </c>
      <c r="E64" s="94" t="s">
        <v>34</v>
      </c>
      <c r="F64" s="94" t="s">
        <v>35</v>
      </c>
      <c r="G64" s="36"/>
      <c r="H64" s="673" t="s">
        <v>60</v>
      </c>
      <c r="I64" s="674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</row>
    <row r="65" spans="1:122" ht="17" customHeight="1" x14ac:dyDescent="0.3">
      <c r="A65" s="16"/>
      <c r="B65" s="93" t="str">
        <f>B48</f>
        <v>2020-21</v>
      </c>
      <c r="C65" s="129"/>
      <c r="D65" s="224">
        <f>F48</f>
        <v>340</v>
      </c>
      <c r="E65" s="225">
        <f>D65-C65</f>
        <v>340</v>
      </c>
      <c r="F65" s="226">
        <f>IF(D65&lt;&gt;0,E65/D65,"")</f>
        <v>1</v>
      </c>
      <c r="G65" s="36" t="str">
        <f>IF($G$62="","",IF(D65-$G$62&gt;0,"Exceeds Cap",""))</f>
        <v/>
      </c>
      <c r="H65" s="675"/>
      <c r="I65" s="67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</row>
    <row r="66" spans="1:122" ht="17" customHeight="1" x14ac:dyDescent="0.3">
      <c r="A66" s="16"/>
      <c r="B66" s="93" t="str">
        <f>B49</f>
        <v>2021-22</v>
      </c>
      <c r="C66" s="130"/>
      <c r="D66" s="224">
        <f>F49</f>
        <v>625</v>
      </c>
      <c r="E66" s="225">
        <f>D66-C66</f>
        <v>625</v>
      </c>
      <c r="F66" s="226">
        <f>IF(D66&lt;&gt;0,E66/D66,"")</f>
        <v>1</v>
      </c>
      <c r="G66" s="36" t="str">
        <f>IF($G$62="","",IF(D66-$G$62&gt;0,"Exceeds Cap",""))</f>
        <v/>
      </c>
      <c r="H66" s="676"/>
      <c r="I66" s="676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</row>
    <row r="67" spans="1:122" ht="17" customHeight="1" x14ac:dyDescent="0.3">
      <c r="A67" s="16"/>
      <c r="B67" s="97" t="str">
        <f>B50</f>
        <v>2022-23</v>
      </c>
      <c r="C67" s="131"/>
      <c r="D67" s="227">
        <f>F50</f>
        <v>763.310792780376</v>
      </c>
      <c r="E67" s="228">
        <f>D67-C67</f>
        <v>763.310792780376</v>
      </c>
      <c r="F67" s="229">
        <f>IF(D67&lt;&gt;0,E67/D67,"")</f>
        <v>1</v>
      </c>
      <c r="G67" s="36" t="str">
        <f>IF($G$62="","",IF(D67-$G$62&gt;0,"Exceeds Cap",""))</f>
        <v/>
      </c>
      <c r="H67" s="676"/>
      <c r="I67" s="676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</row>
    <row r="68" spans="1:122" ht="17" customHeight="1" x14ac:dyDescent="0.3">
      <c r="A68" s="16"/>
      <c r="B68" s="97" t="str">
        <f>B51</f>
        <v>2023-24</v>
      </c>
      <c r="C68" s="131"/>
      <c r="D68" s="227">
        <f>F51</f>
        <v>839.64187205841404</v>
      </c>
      <c r="E68" s="228">
        <f>D68-C68</f>
        <v>839.64187205841404</v>
      </c>
      <c r="F68" s="229">
        <f>IF(D68&lt;&gt;0,E68/D68,"")</f>
        <v>1</v>
      </c>
      <c r="G68" s="36" t="str">
        <f>IF($G$62="","",IF(D68-$G$62&gt;0,"Exceeds Cap",""))</f>
        <v/>
      </c>
      <c r="H68" s="676"/>
      <c r="I68" s="676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</row>
    <row r="69" spans="1:122" ht="17" customHeight="1" x14ac:dyDescent="0.3">
      <c r="A69" s="16"/>
      <c r="B69" s="98" t="str">
        <f>B52</f>
        <v>2024-25</v>
      </c>
      <c r="C69" s="131"/>
      <c r="D69" s="227">
        <f>F52</f>
        <v>923.60605926425546</v>
      </c>
      <c r="E69" s="228">
        <f>D69-C69</f>
        <v>923.60605926425546</v>
      </c>
      <c r="F69" s="229">
        <f>IF(D69&lt;&gt;0,E69/D69,"")</f>
        <v>1</v>
      </c>
      <c r="G69" s="36" t="str">
        <f>IF($G$62="","",IF(D69-$G$62&gt;0,"Exceeds Cap",""))</f>
        <v/>
      </c>
      <c r="H69" s="676"/>
      <c r="I69" s="676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</row>
    <row r="70" spans="1:122" ht="7.5" customHeight="1" x14ac:dyDescent="0.3">
      <c r="A70" s="16"/>
      <c r="B70" s="36"/>
      <c r="C70" s="38"/>
      <c r="D70" s="74"/>
      <c r="E70" s="75"/>
      <c r="F70" s="79"/>
      <c r="G70" s="36"/>
      <c r="H70" s="75"/>
      <c r="I70" s="7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</row>
    <row r="71" spans="1:122" ht="17" customHeight="1" thickBot="1" x14ac:dyDescent="0.35">
      <c r="A71" s="11"/>
      <c r="D71" s="4"/>
      <c r="E71" s="96" t="s">
        <v>109</v>
      </c>
      <c r="F71" s="12"/>
      <c r="G71" s="6"/>
      <c r="H71" s="1"/>
      <c r="I71" s="1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</row>
    <row r="72" spans="1:122" ht="17" customHeight="1" thickBot="1" x14ac:dyDescent="0.35">
      <c r="A72" s="11"/>
      <c r="D72" s="139" t="str">
        <f>B67&amp;" ADA Reasonable?"</f>
        <v>2022-23 ADA Reasonable?</v>
      </c>
      <c r="E72" s="44" t="s">
        <v>133</v>
      </c>
      <c r="F72" s="12"/>
      <c r="G72" s="670" t="s">
        <v>37</v>
      </c>
      <c r="H72" s="671"/>
      <c r="I72" s="672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</row>
    <row r="73" spans="1:122" ht="17" customHeight="1" thickBot="1" x14ac:dyDescent="0.35">
      <c r="A73" s="11"/>
      <c r="B73" s="23" t="str">
        <f>"Budget Year "&amp;B67</f>
        <v>Budget Year 2022-23</v>
      </c>
      <c r="C73" s="13"/>
      <c r="D73" s="23"/>
      <c r="E73" s="31" t="s">
        <v>108</v>
      </c>
      <c r="F73" s="37" t="s">
        <v>38</v>
      </c>
      <c r="G73" s="137" t="s">
        <v>39</v>
      </c>
      <c r="H73" s="135"/>
      <c r="I73" s="136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</row>
    <row r="74" spans="1:122" ht="17" customHeight="1" x14ac:dyDescent="0.3">
      <c r="B74" s="13" t="s">
        <v>40</v>
      </c>
      <c r="C74" s="13"/>
      <c r="D74" s="13"/>
      <c r="E74" s="33">
        <f>E50</f>
        <v>0.22401415164777111</v>
      </c>
      <c r="F74" s="110">
        <f>H50</f>
        <v>0.18119852894595656</v>
      </c>
      <c r="G74" s="664"/>
      <c r="H74" s="665"/>
      <c r="I74" s="666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</row>
    <row r="75" spans="1:122" ht="17" customHeight="1" x14ac:dyDescent="0.3">
      <c r="B75" s="13" t="s">
        <v>110</v>
      </c>
      <c r="C75" s="13"/>
      <c r="D75" s="13"/>
      <c r="E75" s="539" t="str">
        <f>IF($E$53="Insufficient History","Insufficient History",IF(E74&lt;=$E$53,"Meets","Not Met"))</f>
        <v>Meets</v>
      </c>
      <c r="F75" s="540" t="str">
        <f>IF($H$53="Insufficient History","Insufficient History",IF(F74&lt;=$H$53,"Meets","Not Met"))</f>
        <v>Meets</v>
      </c>
      <c r="G75" s="664"/>
      <c r="H75" s="665"/>
      <c r="I75" s="666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</row>
    <row r="76" spans="1:122" ht="17" customHeight="1" x14ac:dyDescent="0.3">
      <c r="B76" s="13" t="s">
        <v>41</v>
      </c>
      <c r="C76" s="13"/>
      <c r="D76" s="13"/>
      <c r="E76" s="132">
        <f>C50</f>
        <v>870.57</v>
      </c>
      <c r="F76" s="133">
        <f>F50</f>
        <v>763.310792780376</v>
      </c>
      <c r="G76" s="664"/>
      <c r="H76" s="665"/>
      <c r="I76" s="666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</row>
    <row r="77" spans="1:122" ht="17" customHeight="1" x14ac:dyDescent="0.3">
      <c r="B77" s="13"/>
      <c r="C77" s="13"/>
      <c r="D77" s="13"/>
      <c r="E77" s="41"/>
      <c r="F77" s="109"/>
      <c r="G77" s="667"/>
      <c r="H77" s="668"/>
      <c r="I77" s="669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</row>
    <row r="78" spans="1:122" s="4" customFormat="1" ht="17" customHeight="1" thickBot="1" x14ac:dyDescent="0.35">
      <c r="B78" s="35"/>
      <c r="C78" s="13"/>
      <c r="D78" s="13"/>
      <c r="E78" s="96" t="s">
        <v>109</v>
      </c>
      <c r="F78" s="32"/>
      <c r="G78" s="111"/>
      <c r="H78" s="20"/>
      <c r="I78" s="20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</row>
    <row r="79" spans="1:122" s="4" customFormat="1" ht="17" customHeight="1" thickBot="1" x14ac:dyDescent="0.35">
      <c r="B79" s="35"/>
      <c r="C79" s="13"/>
      <c r="D79" s="139" t="str">
        <f>B68&amp;" ADA Reasonable?"</f>
        <v>2023-24 ADA Reasonable?</v>
      </c>
      <c r="E79" s="44" t="s">
        <v>133</v>
      </c>
      <c r="F79" s="32"/>
      <c r="G79" s="670" t="s">
        <v>37</v>
      </c>
      <c r="H79" s="671"/>
      <c r="I79" s="672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</row>
    <row r="80" spans="1:122" s="4" customFormat="1" ht="17" customHeight="1" thickBot="1" x14ac:dyDescent="0.35">
      <c r="B80" s="23" t="str">
        <f>"1st Subsequent Year "&amp;B68</f>
        <v>1st Subsequent Year 2023-24</v>
      </c>
      <c r="C80" s="13"/>
      <c r="E80" s="31" t="s">
        <v>108</v>
      </c>
      <c r="F80" s="37" t="s">
        <v>38</v>
      </c>
      <c r="G80" s="137" t="s">
        <v>39</v>
      </c>
      <c r="H80" s="135"/>
      <c r="I80" s="136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</row>
    <row r="81" spans="1:122" s="4" customFormat="1" ht="17" customHeight="1" x14ac:dyDescent="0.3">
      <c r="B81" s="13" t="s">
        <v>40</v>
      </c>
      <c r="C81" s="13"/>
      <c r="D81" s="13"/>
      <c r="E81" s="33">
        <f>E51</f>
        <v>9.0909090909090925E-2</v>
      </c>
      <c r="F81" s="33">
        <f>H51</f>
        <v>9.0909090909091383E-2</v>
      </c>
      <c r="G81" s="664"/>
      <c r="H81" s="665"/>
      <c r="I81" s="666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</row>
    <row r="82" spans="1:122" s="4" customFormat="1" ht="17" customHeight="1" x14ac:dyDescent="0.3">
      <c r="B82" s="13" t="s">
        <v>110</v>
      </c>
      <c r="C82" s="13"/>
      <c r="D82" s="13"/>
      <c r="E82" s="539" t="str">
        <f>IF($E$53="Insufficient History","Insufficient History",IF(E81&lt;=$E$53,"Meets","Not Met"))</f>
        <v>Meets</v>
      </c>
      <c r="F82" s="539" t="str">
        <f>IF($H$53="Insufficient History","Insufficient History",IF(F81&lt;=$H$53,"Meets","Not Met"))</f>
        <v>Meets</v>
      </c>
      <c r="G82" s="664"/>
      <c r="H82" s="665"/>
      <c r="I82" s="666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</row>
    <row r="83" spans="1:122" s="4" customFormat="1" ht="17" customHeight="1" x14ac:dyDescent="0.3">
      <c r="B83" s="13" t="s">
        <v>41</v>
      </c>
      <c r="C83" s="13"/>
      <c r="D83" s="13"/>
      <c r="E83" s="132">
        <f>C51</f>
        <v>957.62700000000007</v>
      </c>
      <c r="F83" s="134">
        <f>F51</f>
        <v>839.64187205841404</v>
      </c>
      <c r="G83" s="664"/>
      <c r="H83" s="665"/>
      <c r="I83" s="666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</row>
    <row r="84" spans="1:122" s="4" customFormat="1" ht="17" customHeight="1" x14ac:dyDescent="0.3">
      <c r="B84" s="13"/>
      <c r="C84" s="13"/>
      <c r="D84" s="13"/>
      <c r="E84" s="41"/>
      <c r="F84" s="109"/>
      <c r="G84" s="667"/>
      <c r="H84" s="668"/>
      <c r="I84" s="669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</row>
    <row r="85" spans="1:122" s="4" customFormat="1" ht="17" customHeight="1" thickBot="1" x14ac:dyDescent="0.35">
      <c r="B85" s="35"/>
      <c r="C85" s="13"/>
      <c r="D85" s="13"/>
      <c r="E85" s="96" t="s">
        <v>109</v>
      </c>
      <c r="F85" s="32"/>
      <c r="G85" s="111"/>
      <c r="H85" s="20"/>
      <c r="I85" s="20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</row>
    <row r="86" spans="1:122" s="4" customFormat="1" ht="17" customHeight="1" thickBot="1" x14ac:dyDescent="0.35">
      <c r="B86" s="35"/>
      <c r="C86" s="13"/>
      <c r="D86" s="139" t="str">
        <f>B69&amp;" ADA Reasonable?"</f>
        <v>2024-25 ADA Reasonable?</v>
      </c>
      <c r="E86" s="44" t="s">
        <v>113</v>
      </c>
      <c r="F86" s="32"/>
      <c r="G86" s="670" t="s">
        <v>37</v>
      </c>
      <c r="H86" s="671"/>
      <c r="I86" s="672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</row>
    <row r="87" spans="1:122" s="4" customFormat="1" ht="17" customHeight="1" thickBot="1" x14ac:dyDescent="0.35">
      <c r="B87" s="23" t="str">
        <f>"2nd Subsequent Year "&amp;B69</f>
        <v>2nd Subsequent Year 2024-25</v>
      </c>
      <c r="C87" s="13"/>
      <c r="E87" s="31" t="s">
        <v>108</v>
      </c>
      <c r="F87" s="37" t="s">
        <v>38</v>
      </c>
      <c r="G87" s="137" t="s">
        <v>39</v>
      </c>
      <c r="H87" s="135"/>
      <c r="I87" s="136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</row>
    <row r="88" spans="1:122" s="4" customFormat="1" ht="17" customHeight="1" x14ac:dyDescent="0.3">
      <c r="B88" s="13" t="s">
        <v>40</v>
      </c>
      <c r="C88" s="13"/>
      <c r="D88" s="13"/>
      <c r="E88" s="33">
        <f>E52</f>
        <v>9.0909090909090995E-2</v>
      </c>
      <c r="F88" s="33">
        <f>H52</f>
        <v>9.0909090909090925E-2</v>
      </c>
      <c r="G88" s="664"/>
      <c r="H88" s="665"/>
      <c r="I88" s="666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</row>
    <row r="89" spans="1:122" s="4" customFormat="1" ht="17" customHeight="1" x14ac:dyDescent="0.3">
      <c r="B89" s="13" t="s">
        <v>110</v>
      </c>
      <c r="C89" s="13"/>
      <c r="D89" s="13"/>
      <c r="E89" s="539" t="str">
        <f>IF($E$53="Insufficient History","Insufficient History",IF(E88&lt;=$E$53,"Meets","Not Met"))</f>
        <v>Meets</v>
      </c>
      <c r="F89" s="539" t="str">
        <f>IF($H$53="Insufficient History","Insufficient History",IF(F88&lt;=$H$53,"Meets","Not Met"))</f>
        <v>Meets</v>
      </c>
      <c r="G89" s="664"/>
      <c r="H89" s="665"/>
      <c r="I89" s="666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</row>
    <row r="90" spans="1:122" s="4" customFormat="1" ht="17" customHeight="1" x14ac:dyDescent="0.3">
      <c r="B90" s="13" t="s">
        <v>41</v>
      </c>
      <c r="C90" s="13"/>
      <c r="D90" s="13"/>
      <c r="E90" s="132">
        <f>C52</f>
        <v>1053.3897000000002</v>
      </c>
      <c r="F90" s="134">
        <f>F52</f>
        <v>923.60605926425546</v>
      </c>
      <c r="G90" s="664"/>
      <c r="H90" s="665"/>
      <c r="I90" s="666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</row>
    <row r="91" spans="1:122" s="4" customFormat="1" ht="17" customHeight="1" x14ac:dyDescent="0.3">
      <c r="B91" s="15"/>
      <c r="E91" s="14"/>
      <c r="F91" s="12"/>
      <c r="G91" s="667"/>
      <c r="H91" s="668"/>
      <c r="I91" s="669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</row>
    <row r="92" spans="1:122" s="64" customFormat="1" ht="19.5" customHeight="1" x14ac:dyDescent="0.25">
      <c r="A92" s="60" t="s">
        <v>120</v>
      </c>
      <c r="B92" s="61"/>
      <c r="C92" s="61"/>
      <c r="D92" s="62"/>
      <c r="E92" s="62"/>
      <c r="F92" s="63"/>
      <c r="G92" s="61"/>
      <c r="H92" s="61"/>
      <c r="I92" s="61"/>
      <c r="J92" s="61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6"/>
      <c r="DI92" s="216"/>
      <c r="DJ92" s="216"/>
      <c r="DK92" s="216"/>
      <c r="DL92" s="216"/>
      <c r="DM92" s="216"/>
      <c r="DN92" s="216"/>
      <c r="DO92" s="216"/>
      <c r="DP92" s="216"/>
      <c r="DQ92" s="216"/>
      <c r="DR92" s="216"/>
    </row>
    <row r="93" spans="1:122" s="72" customFormat="1" ht="8.25" customHeight="1" thickBot="1" x14ac:dyDescent="0.3">
      <c r="A93" s="71"/>
      <c r="B93" s="118"/>
      <c r="C93" s="118"/>
      <c r="D93" s="119"/>
      <c r="E93" s="119"/>
      <c r="F93" s="120"/>
      <c r="G93" s="118"/>
      <c r="H93" s="118"/>
      <c r="I93" s="118"/>
      <c r="J93" s="1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</row>
    <row r="94" spans="1:122" ht="17" customHeight="1" x14ac:dyDescent="0.3">
      <c r="A94" s="17"/>
      <c r="B94" s="708" t="s">
        <v>147</v>
      </c>
      <c r="C94" s="708"/>
      <c r="D94" s="708"/>
      <c r="E94" s="708"/>
      <c r="F94" s="708"/>
      <c r="H94" s="741" t="s">
        <v>241</v>
      </c>
      <c r="I94" s="742"/>
      <c r="J94" s="743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</row>
    <row r="95" spans="1:122" ht="17" customHeight="1" x14ac:dyDescent="0.3">
      <c r="A95" s="17"/>
      <c r="B95" s="708"/>
      <c r="C95" s="708"/>
      <c r="D95" s="708"/>
      <c r="E95" s="708"/>
      <c r="F95" s="708"/>
      <c r="G95" s="496"/>
      <c r="H95" s="497" t="str">
        <f>B107</f>
        <v>2022-23</v>
      </c>
      <c r="I95" s="498" t="str">
        <f>B108</f>
        <v>2023-24</v>
      </c>
      <c r="J95" s="499" t="str">
        <f>B109</f>
        <v>2024-25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</row>
    <row r="96" spans="1:122" ht="17" customHeight="1" thickBot="1" x14ac:dyDescent="0.35">
      <c r="A96" s="17"/>
      <c r="B96" s="112"/>
      <c r="C96" s="112"/>
      <c r="D96" s="112"/>
      <c r="E96" s="112"/>
      <c r="F96" s="102"/>
      <c r="G96" s="500"/>
      <c r="H96" s="501">
        <f>Data!C78</f>
        <v>5.5E-2</v>
      </c>
      <c r="I96" s="502">
        <f>Data!D78</f>
        <v>5.1999999999999998E-2</v>
      </c>
      <c r="J96" s="503">
        <f>Data!E78</f>
        <v>0.06</v>
      </c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</row>
    <row r="97" spans="1:122" ht="15.5" thickBot="1" x14ac:dyDescent="0.35">
      <c r="A97" s="17"/>
      <c r="B97" s="101"/>
      <c r="D97" s="18"/>
      <c r="G97" s="39"/>
      <c r="H97" s="30"/>
      <c r="I97" s="39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</row>
    <row r="98" spans="1:122" ht="29.25" customHeight="1" thickBot="1" x14ac:dyDescent="0.35">
      <c r="B98" s="719" t="s">
        <v>121</v>
      </c>
      <c r="C98" s="719"/>
      <c r="D98" s="720"/>
      <c r="E98" s="58" t="s">
        <v>115</v>
      </c>
      <c r="F98" s="32"/>
      <c r="G98" s="230" t="s">
        <v>42</v>
      </c>
      <c r="H98" s="231" t="str">
        <f>IF($C$17="Positive - Charter will meet it's financial obligations in current and 2 subsequent years","Yes","No")</f>
        <v>Yes</v>
      </c>
      <c r="I98" s="232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</row>
    <row r="99" spans="1:122" s="24" customFormat="1" ht="26.25" customHeight="1" x14ac:dyDescent="0.3">
      <c r="B99" s="234"/>
      <c r="C99" s="235"/>
      <c r="D99" s="236"/>
      <c r="E99" s="237"/>
      <c r="F99" s="238"/>
      <c r="G99" s="660" t="s">
        <v>116</v>
      </c>
      <c r="H99" s="660"/>
      <c r="I99" s="660"/>
      <c r="J99" s="660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5"/>
      <c r="DI99" s="215"/>
      <c r="DJ99" s="215"/>
      <c r="DK99" s="215"/>
      <c r="DL99" s="215"/>
      <c r="DM99" s="215"/>
      <c r="DN99" s="215"/>
      <c r="DO99" s="215"/>
      <c r="DP99" s="215"/>
      <c r="DQ99" s="215"/>
      <c r="DR99" s="215"/>
    </row>
    <row r="100" spans="1:122" s="24" customFormat="1" ht="12.75" customHeight="1" thickBot="1" x14ac:dyDescent="0.35">
      <c r="B100" s="234"/>
      <c r="C100" s="235"/>
      <c r="D100" s="236"/>
      <c r="E100" s="237"/>
      <c r="F100" s="238"/>
      <c r="G100" s="233"/>
      <c r="H100" s="233"/>
      <c r="I100" s="233"/>
      <c r="J100" s="233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</row>
    <row r="101" spans="1:122" ht="17" customHeight="1" thickBot="1" x14ac:dyDescent="0.35">
      <c r="A101" s="4"/>
      <c r="B101" s="239"/>
      <c r="C101" s="327" t="s">
        <v>243</v>
      </c>
      <c r="D101" s="661" t="s">
        <v>43</v>
      </c>
      <c r="E101" s="662"/>
      <c r="F101" s="662"/>
      <c r="G101" s="662"/>
      <c r="H101" s="662"/>
      <c r="I101" s="662"/>
      <c r="J101" s="663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</row>
    <row r="102" spans="1:122" ht="17" customHeight="1" x14ac:dyDescent="0.3">
      <c r="B102" s="239"/>
      <c r="C102" s="239" t="s">
        <v>119</v>
      </c>
      <c r="D102" s="240" t="s">
        <v>44</v>
      </c>
      <c r="E102" s="241" t="s">
        <v>45</v>
      </c>
      <c r="F102" s="241" t="s">
        <v>46</v>
      </c>
      <c r="G102" s="241" t="s">
        <v>47</v>
      </c>
      <c r="H102" s="241" t="s">
        <v>48</v>
      </c>
      <c r="I102" s="241" t="s">
        <v>56</v>
      </c>
      <c r="J102" s="243" t="s">
        <v>49</v>
      </c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</row>
    <row r="103" spans="1:122" ht="17" customHeight="1" x14ac:dyDescent="0.3">
      <c r="B103" s="244"/>
      <c r="C103" s="244" t="s">
        <v>118</v>
      </c>
      <c r="D103" s="245" t="s">
        <v>51</v>
      </c>
      <c r="E103" s="246" t="s">
        <v>52</v>
      </c>
      <c r="F103" s="246" t="s">
        <v>53</v>
      </c>
      <c r="G103" s="242" t="s">
        <v>54</v>
      </c>
      <c r="H103" s="246" t="s">
        <v>55</v>
      </c>
      <c r="I103" s="495" t="s">
        <v>146</v>
      </c>
      <c r="J103" s="265" t="s">
        <v>57</v>
      </c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</row>
    <row r="104" spans="1:122" ht="17" customHeight="1" x14ac:dyDescent="0.3">
      <c r="A104" s="155"/>
      <c r="B104" s="247" t="str">
        <f t="shared" ref="B104:B109" si="5">B47</f>
        <v>2019-20</v>
      </c>
      <c r="C104" s="530"/>
      <c r="D104" s="524">
        <v>-492451</v>
      </c>
      <c r="E104" s="527">
        <v>6267021</v>
      </c>
      <c r="F104" s="524">
        <v>5209325</v>
      </c>
      <c r="G104" s="523">
        <f>+D104+E104-F104</f>
        <v>565245</v>
      </c>
      <c r="H104" s="523">
        <f t="shared" ref="H104:H109" si="6">E104-F104</f>
        <v>1057696</v>
      </c>
      <c r="I104" s="403"/>
      <c r="J104" s="416" t="str">
        <f t="shared" ref="J104:J106" si="7">IF(H104&lt;0,-H104/F104,"no deficit")</f>
        <v>no deficit</v>
      </c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</row>
    <row r="105" spans="1:122" ht="17" customHeight="1" x14ac:dyDescent="0.3">
      <c r="A105" s="155"/>
      <c r="B105" s="247" t="str">
        <f t="shared" si="5"/>
        <v>2020-21</v>
      </c>
      <c r="C105" s="531"/>
      <c r="D105" s="525">
        <f>G104</f>
        <v>565245</v>
      </c>
      <c r="E105" s="525">
        <v>5364017</v>
      </c>
      <c r="F105" s="524">
        <v>4576746</v>
      </c>
      <c r="G105" s="523">
        <f>+D105+E105-F105</f>
        <v>1352516</v>
      </c>
      <c r="H105" s="523">
        <f t="shared" si="6"/>
        <v>787271</v>
      </c>
      <c r="I105" s="403"/>
      <c r="J105" s="416" t="str">
        <f t="shared" si="7"/>
        <v>no deficit</v>
      </c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55"/>
      <c r="BS105" s="155"/>
      <c r="BT105" s="155"/>
      <c r="BU105" s="155"/>
      <c r="BV105" s="155"/>
      <c r="BW105" s="155"/>
      <c r="BX105" s="155"/>
      <c r="BY105" s="155"/>
      <c r="BZ105" s="155"/>
      <c r="CA105" s="155"/>
      <c r="CB105" s="155"/>
      <c r="CC105" s="155"/>
      <c r="CD105" s="155"/>
      <c r="CE105" s="155"/>
      <c r="CF105" s="155"/>
      <c r="CG105" s="155"/>
      <c r="CH105" s="155"/>
      <c r="CI105" s="155"/>
      <c r="CJ105" s="155"/>
      <c r="CK105" s="155"/>
      <c r="CL105" s="155"/>
      <c r="CM105" s="155"/>
      <c r="CN105" s="155"/>
      <c r="CO105" s="155"/>
      <c r="CP105" s="155"/>
      <c r="CQ105" s="155"/>
      <c r="CR105" s="155"/>
      <c r="CS105" s="155"/>
      <c r="CT105" s="155"/>
      <c r="CU105" s="155"/>
      <c r="CV105" s="155"/>
      <c r="CW105" s="155"/>
      <c r="CX105" s="155"/>
      <c r="CY105" s="155"/>
      <c r="CZ105" s="155"/>
      <c r="DA105" s="155"/>
      <c r="DB105" s="155"/>
      <c r="DC105" s="155"/>
      <c r="DD105" s="155"/>
      <c r="DE105" s="155"/>
      <c r="DF105" s="155"/>
      <c r="DG105" s="155"/>
      <c r="DH105" s="155"/>
      <c r="DI105" s="155"/>
      <c r="DJ105" s="155"/>
      <c r="DK105" s="155"/>
      <c r="DL105" s="155"/>
      <c r="DM105" s="155"/>
      <c r="DN105" s="155"/>
      <c r="DO105" s="155"/>
      <c r="DP105" s="155"/>
      <c r="DQ105" s="155"/>
      <c r="DR105" s="155"/>
    </row>
    <row r="106" spans="1:122" ht="17" customHeight="1" x14ac:dyDescent="0.3">
      <c r="A106" s="155"/>
      <c r="B106" s="247" t="str">
        <f t="shared" si="5"/>
        <v>2021-22</v>
      </c>
      <c r="C106" s="531"/>
      <c r="D106" s="525">
        <f>G105</f>
        <v>1352516</v>
      </c>
      <c r="E106" s="525">
        <v>8367314</v>
      </c>
      <c r="F106" s="524">
        <v>8176357</v>
      </c>
      <c r="G106" s="523">
        <f>C106+D106+E106-F106</f>
        <v>1543473</v>
      </c>
      <c r="H106" s="523">
        <f t="shared" si="6"/>
        <v>190957</v>
      </c>
      <c r="I106" s="403"/>
      <c r="J106" s="416" t="str">
        <f t="shared" si="7"/>
        <v>no deficit</v>
      </c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</row>
    <row r="107" spans="1:122" ht="17" customHeight="1" x14ac:dyDescent="0.3">
      <c r="A107" s="155"/>
      <c r="B107" s="251" t="str">
        <f t="shared" si="5"/>
        <v>2022-23</v>
      </c>
      <c r="C107" s="528">
        <f>Data!C46+Data!C47</f>
        <v>0</v>
      </c>
      <c r="D107" s="528">
        <f>Data!C43+Data!C44</f>
        <v>1543472.6318229996</v>
      </c>
      <c r="E107" s="528">
        <f>Data!C81</f>
        <v>9499913.9133786</v>
      </c>
      <c r="F107" s="529">
        <f>Data!C82</f>
        <v>9299777.0897569992</v>
      </c>
      <c r="G107" s="529">
        <f>C107+D107+E107-F107</f>
        <v>1743609.4554446004</v>
      </c>
      <c r="H107" s="529">
        <f t="shared" si="6"/>
        <v>200136.82362160087</v>
      </c>
      <c r="I107" s="249" t="str">
        <f>IF(H107&gt;=0,"No",IF(J107&gt;H96,"Yes","No"))</f>
        <v>No</v>
      </c>
      <c r="J107" s="410" t="str">
        <f>IF(H107&lt;0,-H107/F107,"no deficit")</f>
        <v>no deficit</v>
      </c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</row>
    <row r="108" spans="1:122" ht="17" customHeight="1" x14ac:dyDescent="0.3">
      <c r="A108" s="155"/>
      <c r="B108" s="251" t="str">
        <f t="shared" si="5"/>
        <v>2023-24</v>
      </c>
      <c r="C108" s="532"/>
      <c r="D108" s="528">
        <f>Data!C49</f>
        <v>1743609.4554446004</v>
      </c>
      <c r="E108" s="528">
        <f>Data!D81</f>
        <v>10809180.204716459</v>
      </c>
      <c r="F108" s="529">
        <f>Data!D82</f>
        <v>10749727.1987327</v>
      </c>
      <c r="G108" s="529">
        <f>C108+D108+E108-F108</f>
        <v>1803062.4614283592</v>
      </c>
      <c r="H108" s="529">
        <f t="shared" si="6"/>
        <v>59453.005983758718</v>
      </c>
      <c r="I108" s="249" t="str">
        <f t="shared" ref="I108:I109" si="8">IF(H108&gt;=0,"No",IF(H108&lt;0,"Yes","No"))</f>
        <v>No</v>
      </c>
      <c r="J108" s="410" t="str">
        <f>IF(H108&lt;0,-H108/F108,"no deficit")</f>
        <v>no deficit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55"/>
      <c r="BS108" s="155"/>
      <c r="BT108" s="155"/>
      <c r="BU108" s="155"/>
      <c r="BV108" s="155"/>
      <c r="BW108" s="155"/>
      <c r="BX108" s="155"/>
      <c r="BY108" s="155"/>
      <c r="BZ108" s="155"/>
      <c r="CA108" s="155"/>
      <c r="CB108" s="155"/>
      <c r="CC108" s="155"/>
      <c r="CD108" s="155"/>
      <c r="CE108" s="155"/>
      <c r="CF108" s="155"/>
      <c r="CG108" s="155"/>
      <c r="CH108" s="155"/>
      <c r="CI108" s="155"/>
      <c r="CJ108" s="155"/>
      <c r="CK108" s="155"/>
      <c r="CL108" s="155"/>
      <c r="CM108" s="155"/>
      <c r="CN108" s="155"/>
      <c r="CO108" s="155"/>
      <c r="CP108" s="155"/>
      <c r="CQ108" s="155"/>
      <c r="CR108" s="155"/>
      <c r="CS108" s="155"/>
      <c r="CT108" s="155"/>
      <c r="CU108" s="155"/>
      <c r="CV108" s="155"/>
      <c r="CW108" s="155"/>
      <c r="CX108" s="155"/>
      <c r="CY108" s="155"/>
      <c r="CZ108" s="155"/>
      <c r="DA108" s="155"/>
      <c r="DB108" s="155"/>
      <c r="DC108" s="155"/>
      <c r="DD108" s="155"/>
      <c r="DE108" s="155"/>
      <c r="DF108" s="155"/>
      <c r="DG108" s="155"/>
      <c r="DH108" s="155"/>
      <c r="DI108" s="155"/>
      <c r="DJ108" s="155"/>
      <c r="DK108" s="155"/>
      <c r="DL108" s="155"/>
      <c r="DM108" s="155"/>
      <c r="DN108" s="155"/>
      <c r="DO108" s="155"/>
      <c r="DP108" s="155"/>
      <c r="DQ108" s="155"/>
      <c r="DR108" s="155"/>
    </row>
    <row r="109" spans="1:122" ht="17" customHeight="1" x14ac:dyDescent="0.3">
      <c r="A109" s="155"/>
      <c r="B109" s="253" t="str">
        <f t="shared" si="5"/>
        <v>2024-25</v>
      </c>
      <c r="C109" s="532"/>
      <c r="D109" s="528">
        <f>Data!D49</f>
        <v>1803062.4614283592</v>
      </c>
      <c r="E109" s="528">
        <f>Data!E81</f>
        <v>12315858.325188106</v>
      </c>
      <c r="F109" s="529">
        <f>Data!E82</f>
        <v>11831811.718605969</v>
      </c>
      <c r="G109" s="529">
        <f>C109+D109+E109-F109</f>
        <v>2287109.068010496</v>
      </c>
      <c r="H109" s="529">
        <f t="shared" si="6"/>
        <v>484046.60658213682</v>
      </c>
      <c r="I109" s="249" t="str">
        <f t="shared" si="8"/>
        <v>No</v>
      </c>
      <c r="J109" s="417" t="str">
        <f>IF(H109&lt;0,-H109/F109,"no deficit")</f>
        <v>no deficit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155"/>
      <c r="BU109" s="155"/>
      <c r="BV109" s="155"/>
      <c r="BW109" s="155"/>
      <c r="BX109" s="155"/>
      <c r="BY109" s="155"/>
      <c r="BZ109" s="155"/>
      <c r="CA109" s="155"/>
      <c r="CB109" s="155"/>
      <c r="CC109" s="155"/>
      <c r="CD109" s="155"/>
      <c r="CE109" s="155"/>
      <c r="CF109" s="155"/>
      <c r="CG109" s="155"/>
      <c r="CH109" s="155"/>
      <c r="CI109" s="155"/>
      <c r="CJ109" s="155"/>
      <c r="CK109" s="155"/>
      <c r="CL109" s="155"/>
      <c r="CM109" s="155"/>
      <c r="CN109" s="155"/>
      <c r="CO109" s="155"/>
      <c r="CP109" s="155"/>
      <c r="CQ109" s="155"/>
      <c r="CR109" s="155"/>
      <c r="CS109" s="155"/>
      <c r="CT109" s="155"/>
      <c r="CU109" s="155"/>
      <c r="CV109" s="155"/>
      <c r="CW109" s="155"/>
      <c r="CX109" s="155"/>
      <c r="CY109" s="155"/>
      <c r="CZ109" s="155"/>
      <c r="DA109" s="155"/>
      <c r="DB109" s="155"/>
      <c r="DC109" s="155"/>
      <c r="DD109" s="155"/>
      <c r="DE109" s="155"/>
      <c r="DF109" s="155"/>
      <c r="DG109" s="155"/>
      <c r="DH109" s="155"/>
      <c r="DI109" s="155"/>
      <c r="DJ109" s="155"/>
      <c r="DK109" s="155"/>
      <c r="DL109" s="155"/>
      <c r="DM109" s="155"/>
      <c r="DN109" s="155"/>
      <c r="DO109" s="155"/>
      <c r="DP109" s="155"/>
      <c r="DQ109" s="155"/>
      <c r="DR109" s="155"/>
    </row>
    <row r="110" spans="1:122" s="24" customFormat="1" ht="6.75" customHeight="1" x14ac:dyDescent="0.3">
      <c r="A110" s="215"/>
      <c r="B110" s="254"/>
      <c r="C110" s="255"/>
      <c r="D110" s="255"/>
      <c r="E110" s="255"/>
      <c r="F110" s="255"/>
      <c r="G110" s="255"/>
      <c r="H110" s="255"/>
      <c r="I110" s="210"/>
      <c r="J110" s="256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215"/>
      <c r="CO110" s="215"/>
      <c r="CP110" s="215"/>
      <c r="CQ110" s="215"/>
      <c r="CR110" s="215"/>
      <c r="CS110" s="215"/>
      <c r="CT110" s="215"/>
      <c r="CU110" s="215"/>
      <c r="CV110" s="215"/>
      <c r="CW110" s="215"/>
      <c r="CX110" s="215"/>
      <c r="CY110" s="215"/>
      <c r="CZ110" s="215"/>
      <c r="DA110" s="215"/>
      <c r="DB110" s="215"/>
      <c r="DC110" s="215"/>
      <c r="DD110" s="215"/>
      <c r="DE110" s="215"/>
      <c r="DF110" s="215"/>
      <c r="DG110" s="215"/>
      <c r="DH110" s="215"/>
      <c r="DI110" s="215"/>
      <c r="DJ110" s="215"/>
      <c r="DK110" s="215"/>
      <c r="DL110" s="215"/>
      <c r="DM110" s="215"/>
      <c r="DN110" s="215"/>
      <c r="DO110" s="215"/>
      <c r="DP110" s="215"/>
      <c r="DQ110" s="215"/>
      <c r="DR110" s="215"/>
    </row>
    <row r="111" spans="1:122" s="24" customFormat="1" ht="15.75" customHeight="1" x14ac:dyDescent="0.3">
      <c r="A111" s="215"/>
      <c r="B111" s="21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11" s="255"/>
      <c r="D111" s="255"/>
      <c r="E111" s="255"/>
      <c r="F111" s="255"/>
      <c r="G111" s="255"/>
      <c r="H111" s="255"/>
      <c r="I111" s="210"/>
      <c r="J111" s="256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215"/>
      <c r="CO111" s="215"/>
      <c r="CP111" s="215"/>
      <c r="CQ111" s="215"/>
      <c r="CR111" s="215"/>
      <c r="CS111" s="215"/>
      <c r="CT111" s="215"/>
      <c r="CU111" s="215"/>
      <c r="CV111" s="215"/>
      <c r="CW111" s="215"/>
      <c r="CX111" s="215"/>
      <c r="CY111" s="215"/>
      <c r="CZ111" s="215"/>
      <c r="DA111" s="215"/>
      <c r="DB111" s="215"/>
      <c r="DC111" s="215"/>
      <c r="DD111" s="215"/>
      <c r="DE111" s="215"/>
      <c r="DF111" s="215"/>
      <c r="DG111" s="215"/>
      <c r="DH111" s="215"/>
      <c r="DI111" s="215"/>
      <c r="DJ111" s="215"/>
      <c r="DK111" s="215"/>
      <c r="DL111" s="215"/>
      <c r="DM111" s="215"/>
      <c r="DN111" s="215"/>
      <c r="DO111" s="215"/>
      <c r="DP111" s="215"/>
      <c r="DQ111" s="215"/>
      <c r="DR111" s="215"/>
    </row>
    <row r="112" spans="1:122" s="24" customFormat="1" ht="15.5" thickBot="1" x14ac:dyDescent="0.35">
      <c r="A112" s="215"/>
      <c r="B112" s="258"/>
      <c r="C112" s="255"/>
      <c r="D112" s="255"/>
      <c r="E112" s="255"/>
      <c r="F112" s="255"/>
      <c r="G112" s="255"/>
      <c r="H112" s="255"/>
      <c r="I112" s="210"/>
      <c r="J112" s="256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215"/>
      <c r="CO112" s="215"/>
      <c r="CP112" s="215"/>
      <c r="CQ112" s="215"/>
      <c r="CR112" s="215"/>
      <c r="CS112" s="215"/>
      <c r="CT112" s="215"/>
      <c r="CU112" s="215"/>
      <c r="CV112" s="215"/>
      <c r="CW112" s="215"/>
      <c r="CX112" s="215"/>
      <c r="CY112" s="215"/>
      <c r="CZ112" s="215"/>
      <c r="DA112" s="215"/>
      <c r="DB112" s="215"/>
      <c r="DC112" s="215"/>
      <c r="DD112" s="215"/>
      <c r="DE112" s="215"/>
      <c r="DF112" s="215"/>
      <c r="DG112" s="215"/>
      <c r="DH112" s="215"/>
      <c r="DI112" s="215"/>
      <c r="DJ112" s="215"/>
      <c r="DK112" s="215"/>
      <c r="DL112" s="215"/>
      <c r="DM112" s="215"/>
      <c r="DN112" s="215"/>
      <c r="DO112" s="215"/>
      <c r="DP112" s="215"/>
      <c r="DQ112" s="215"/>
      <c r="DR112" s="215"/>
    </row>
    <row r="113" spans="1:122" s="24" customFormat="1" ht="17" customHeight="1" thickBot="1" x14ac:dyDescent="0.35">
      <c r="A113" s="215"/>
      <c r="B113" s="685" t="s">
        <v>211</v>
      </c>
      <c r="C113" s="686"/>
      <c r="D113" s="686"/>
      <c r="E113" s="686"/>
      <c r="F113" s="686"/>
      <c r="G113" s="686"/>
      <c r="H113" s="686"/>
      <c r="I113" s="686"/>
      <c r="J113" s="687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215"/>
      <c r="CO113" s="215"/>
      <c r="CP113" s="215"/>
      <c r="CQ113" s="215"/>
      <c r="CR113" s="215"/>
      <c r="CS113" s="215"/>
      <c r="CT113" s="215"/>
      <c r="CU113" s="215"/>
      <c r="CV113" s="215"/>
      <c r="CW113" s="215"/>
      <c r="CX113" s="215"/>
      <c r="CY113" s="215"/>
      <c r="CZ113" s="215"/>
      <c r="DA113" s="215"/>
      <c r="DB113" s="215"/>
      <c r="DC113" s="215"/>
      <c r="DD113" s="215"/>
      <c r="DE113" s="215"/>
      <c r="DF113" s="215"/>
      <c r="DG113" s="215"/>
      <c r="DH113" s="215"/>
      <c r="DI113" s="215"/>
      <c r="DJ113" s="215"/>
      <c r="DK113" s="215"/>
      <c r="DL113" s="215"/>
      <c r="DM113" s="215"/>
      <c r="DN113" s="215"/>
      <c r="DO113" s="215"/>
      <c r="DP113" s="215"/>
      <c r="DQ113" s="215"/>
      <c r="DR113" s="215"/>
    </row>
    <row r="114" spans="1:122" s="24" customFormat="1" ht="33" customHeight="1" x14ac:dyDescent="0.3">
      <c r="A114" s="215"/>
      <c r="B114" s="682"/>
      <c r="C114" s="683"/>
      <c r="D114" s="683"/>
      <c r="E114" s="683"/>
      <c r="F114" s="683"/>
      <c r="G114" s="683"/>
      <c r="H114" s="683"/>
      <c r="I114" s="683"/>
      <c r="J114" s="684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215"/>
      <c r="CO114" s="215"/>
      <c r="CP114" s="215"/>
      <c r="CQ114" s="215"/>
      <c r="CR114" s="215"/>
      <c r="CS114" s="215"/>
      <c r="CT114" s="215"/>
      <c r="CU114" s="215"/>
      <c r="CV114" s="215"/>
      <c r="CW114" s="215"/>
      <c r="CX114" s="215"/>
      <c r="CY114" s="215"/>
      <c r="CZ114" s="215"/>
      <c r="DA114" s="215"/>
      <c r="DB114" s="215"/>
      <c r="DC114" s="215"/>
      <c r="DD114" s="215"/>
      <c r="DE114" s="215"/>
      <c r="DF114" s="215"/>
      <c r="DG114" s="215"/>
      <c r="DH114" s="215"/>
      <c r="DI114" s="215"/>
      <c r="DJ114" s="215"/>
      <c r="DK114" s="215"/>
      <c r="DL114" s="215"/>
      <c r="DM114" s="215"/>
      <c r="DN114" s="215"/>
      <c r="DO114" s="215"/>
      <c r="DP114" s="215"/>
      <c r="DQ114" s="215"/>
      <c r="DR114" s="215"/>
    </row>
    <row r="115" spans="1:122" s="24" customFormat="1" ht="17" customHeight="1" thickBot="1" x14ac:dyDescent="0.35">
      <c r="A115" s="215"/>
      <c r="B115" s="209"/>
      <c r="C115" s="209"/>
      <c r="D115" s="259"/>
      <c r="E115" s="259"/>
      <c r="F115" s="260"/>
      <c r="G115" s="260"/>
      <c r="H115" s="259"/>
      <c r="I115" s="254"/>
      <c r="J115" s="256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215"/>
      <c r="CO115" s="215"/>
      <c r="CP115" s="215"/>
      <c r="CQ115" s="215"/>
      <c r="CR115" s="215"/>
      <c r="CS115" s="215"/>
      <c r="CT115" s="215"/>
      <c r="CU115" s="215"/>
      <c r="CV115" s="215"/>
      <c r="CW115" s="215"/>
      <c r="CX115" s="215"/>
      <c r="CY115" s="215"/>
      <c r="CZ115" s="215"/>
      <c r="DA115" s="215"/>
      <c r="DB115" s="215"/>
      <c r="DC115" s="215"/>
      <c r="DD115" s="215"/>
      <c r="DE115" s="215"/>
      <c r="DF115" s="215"/>
      <c r="DG115" s="215"/>
      <c r="DH115" s="215"/>
      <c r="DI115" s="215"/>
      <c r="DJ115" s="215"/>
      <c r="DK115" s="215"/>
      <c r="DL115" s="215"/>
      <c r="DM115" s="215"/>
      <c r="DN115" s="215"/>
      <c r="DO115" s="215"/>
      <c r="DP115" s="215"/>
      <c r="DQ115" s="215"/>
      <c r="DR115" s="215"/>
    </row>
    <row r="116" spans="1:122" s="24" customFormat="1" ht="17" customHeight="1" thickBot="1" x14ac:dyDescent="0.35">
      <c r="A116" s="215"/>
      <c r="B116" s="209"/>
      <c r="C116" s="327" t="s">
        <v>243</v>
      </c>
      <c r="D116" s="661" t="s">
        <v>58</v>
      </c>
      <c r="E116" s="662"/>
      <c r="F116" s="662"/>
      <c r="G116" s="662"/>
      <c r="H116" s="663"/>
      <c r="I116" s="261"/>
      <c r="J116" s="261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215"/>
      <c r="CO116" s="215"/>
      <c r="CP116" s="215"/>
      <c r="CQ116" s="215"/>
      <c r="CR116" s="215"/>
      <c r="CS116" s="215"/>
      <c r="CT116" s="215"/>
      <c r="CU116" s="215"/>
      <c r="CV116" s="215"/>
      <c r="CW116" s="215"/>
      <c r="CX116" s="215"/>
      <c r="CY116" s="215"/>
      <c r="CZ116" s="215"/>
      <c r="DA116" s="215"/>
      <c r="DB116" s="215"/>
      <c r="DC116" s="215"/>
      <c r="DD116" s="215"/>
      <c r="DE116" s="215"/>
      <c r="DF116" s="215"/>
      <c r="DG116" s="215"/>
      <c r="DH116" s="215"/>
      <c r="DI116" s="215"/>
      <c r="DJ116" s="215"/>
      <c r="DK116" s="215"/>
      <c r="DL116" s="215"/>
      <c r="DM116" s="215"/>
      <c r="DN116" s="215"/>
      <c r="DO116" s="215"/>
      <c r="DP116" s="215"/>
      <c r="DQ116" s="215"/>
      <c r="DR116" s="215"/>
    </row>
    <row r="117" spans="1:122" ht="17" customHeight="1" x14ac:dyDescent="0.3">
      <c r="A117" s="155"/>
      <c r="B117" s="239"/>
      <c r="C117" s="239" t="s">
        <v>119</v>
      </c>
      <c r="D117" s="240" t="s">
        <v>44</v>
      </c>
      <c r="E117" s="241" t="s">
        <v>45</v>
      </c>
      <c r="F117" s="241" t="s">
        <v>46</v>
      </c>
      <c r="G117" s="241" t="s">
        <v>47</v>
      </c>
      <c r="H117" s="262" t="s">
        <v>48</v>
      </c>
      <c r="I117" s="263"/>
      <c r="J117" s="264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5"/>
      <c r="BY117" s="155"/>
      <c r="BZ117" s="155"/>
      <c r="CA117" s="155"/>
      <c r="CB117" s="155"/>
      <c r="CC117" s="155"/>
      <c r="CD117" s="155"/>
      <c r="CE117" s="155"/>
      <c r="CF117" s="155"/>
      <c r="CG117" s="155"/>
      <c r="CH117" s="155"/>
      <c r="CI117" s="155"/>
      <c r="CJ117" s="155"/>
      <c r="CK117" s="155"/>
      <c r="CL117" s="155"/>
      <c r="CM117" s="155"/>
      <c r="CN117" s="155"/>
      <c r="CO117" s="155"/>
      <c r="CP117" s="155"/>
      <c r="CQ117" s="155"/>
      <c r="CR117" s="155"/>
      <c r="CS117" s="155"/>
      <c r="CT117" s="155"/>
      <c r="CU117" s="155"/>
      <c r="CV117" s="155"/>
      <c r="CW117" s="155"/>
      <c r="CX117" s="155"/>
      <c r="CY117" s="155"/>
      <c r="CZ117" s="155"/>
      <c r="DA117" s="155"/>
      <c r="DB117" s="155"/>
      <c r="DC117" s="155"/>
      <c r="DD117" s="155"/>
      <c r="DE117" s="155"/>
      <c r="DF117" s="155"/>
      <c r="DG117" s="155"/>
      <c r="DH117" s="155"/>
      <c r="DI117" s="155"/>
      <c r="DJ117" s="155"/>
      <c r="DK117" s="155"/>
      <c r="DL117" s="155"/>
      <c r="DM117" s="155"/>
      <c r="DN117" s="155"/>
      <c r="DO117" s="155"/>
      <c r="DP117" s="155"/>
      <c r="DQ117" s="155"/>
      <c r="DR117" s="155"/>
    </row>
    <row r="118" spans="1:122" ht="17" customHeight="1" x14ac:dyDescent="0.3">
      <c r="A118" s="155"/>
      <c r="B118" s="244"/>
      <c r="C118" s="244" t="s">
        <v>118</v>
      </c>
      <c r="D118" s="245" t="s">
        <v>51</v>
      </c>
      <c r="E118" s="246" t="s">
        <v>52</v>
      </c>
      <c r="F118" s="246" t="s">
        <v>53</v>
      </c>
      <c r="G118" s="242" t="s">
        <v>54</v>
      </c>
      <c r="H118" s="265" t="s">
        <v>55</v>
      </c>
      <c r="I118" s="266"/>
      <c r="J118" s="267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5"/>
      <c r="BY118" s="155"/>
      <c r="BZ118" s="155"/>
      <c r="CA118" s="155"/>
      <c r="CB118" s="155"/>
      <c r="CC118" s="155"/>
      <c r="CD118" s="155"/>
      <c r="CE118" s="155"/>
      <c r="CF118" s="155"/>
      <c r="CG118" s="155"/>
      <c r="CH118" s="155"/>
      <c r="CI118" s="155"/>
      <c r="CJ118" s="155"/>
      <c r="CK118" s="155"/>
      <c r="CL118" s="155"/>
      <c r="CM118" s="155"/>
      <c r="CN118" s="155"/>
      <c r="CO118" s="155"/>
      <c r="CP118" s="155"/>
      <c r="CQ118" s="155"/>
      <c r="CR118" s="155"/>
      <c r="CS118" s="155"/>
      <c r="CT118" s="155"/>
      <c r="CU118" s="155"/>
      <c r="CV118" s="155"/>
      <c r="CW118" s="155"/>
      <c r="CX118" s="155"/>
      <c r="CY118" s="155"/>
      <c r="CZ118" s="155"/>
      <c r="DA118" s="155"/>
      <c r="DB118" s="155"/>
      <c r="DC118" s="155"/>
      <c r="DD118" s="155"/>
      <c r="DE118" s="155"/>
      <c r="DF118" s="155"/>
      <c r="DG118" s="155"/>
      <c r="DH118" s="155"/>
      <c r="DI118" s="155"/>
      <c r="DJ118" s="155"/>
      <c r="DK118" s="155"/>
      <c r="DL118" s="155"/>
      <c r="DM118" s="155"/>
      <c r="DN118" s="155"/>
      <c r="DO118" s="155"/>
      <c r="DP118" s="155"/>
      <c r="DQ118" s="155"/>
      <c r="DR118" s="155"/>
    </row>
    <row r="119" spans="1:122" ht="17" customHeight="1" x14ac:dyDescent="0.3">
      <c r="A119" s="155"/>
      <c r="B119" s="247" t="str">
        <f t="shared" ref="B119:B124" si="9">B104</f>
        <v>2019-20</v>
      </c>
      <c r="C119" s="248"/>
      <c r="D119" s="524">
        <v>0</v>
      </c>
      <c r="E119" s="524">
        <v>848029</v>
      </c>
      <c r="F119" s="524">
        <v>848029</v>
      </c>
      <c r="G119" s="523">
        <f>+D119+E119-F119</f>
        <v>0</v>
      </c>
      <c r="H119" s="523">
        <f t="shared" ref="H119:H124" si="10">E119-F119</f>
        <v>0</v>
      </c>
      <c r="I119" s="254"/>
      <c r="J119" s="256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  <c r="CE119" s="155"/>
      <c r="CF119" s="155"/>
      <c r="CG119" s="155"/>
      <c r="CH119" s="155"/>
      <c r="CI119" s="155"/>
      <c r="CJ119" s="155"/>
      <c r="CK119" s="155"/>
      <c r="CL119" s="155"/>
      <c r="CM119" s="155"/>
      <c r="CN119" s="155"/>
      <c r="CO119" s="155"/>
      <c r="CP119" s="155"/>
      <c r="CQ119" s="155"/>
      <c r="CR119" s="155"/>
      <c r="CS119" s="155"/>
      <c r="CT119" s="155"/>
      <c r="CU119" s="155"/>
      <c r="CV119" s="155"/>
      <c r="CW119" s="155"/>
      <c r="CX119" s="155"/>
      <c r="CY119" s="155"/>
      <c r="CZ119" s="155"/>
      <c r="DA119" s="155"/>
      <c r="DB119" s="155"/>
      <c r="DC119" s="155"/>
      <c r="DD119" s="155"/>
      <c r="DE119" s="155"/>
      <c r="DF119" s="155"/>
      <c r="DG119" s="155"/>
      <c r="DH119" s="155"/>
      <c r="DI119" s="155"/>
      <c r="DJ119" s="155"/>
      <c r="DK119" s="155"/>
      <c r="DL119" s="155"/>
      <c r="DM119" s="155"/>
      <c r="DN119" s="155"/>
      <c r="DO119" s="155"/>
      <c r="DP119" s="155"/>
      <c r="DQ119" s="155"/>
      <c r="DR119" s="155"/>
    </row>
    <row r="120" spans="1:122" ht="17" customHeight="1" x14ac:dyDescent="0.3">
      <c r="A120" s="155"/>
      <c r="B120" s="247" t="str">
        <f t="shared" si="9"/>
        <v>2020-21</v>
      </c>
      <c r="C120" s="250"/>
      <c r="D120" s="525">
        <v>0</v>
      </c>
      <c r="E120" s="525">
        <v>1914857</v>
      </c>
      <c r="F120" s="524">
        <v>1914857</v>
      </c>
      <c r="G120" s="523">
        <f>+D120+E120-F120</f>
        <v>0</v>
      </c>
      <c r="H120" s="523">
        <f t="shared" si="10"/>
        <v>0</v>
      </c>
      <c r="I120" s="210"/>
      <c r="J120" s="256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  <c r="CE120" s="155"/>
      <c r="CF120" s="155"/>
      <c r="CG120" s="155"/>
      <c r="CH120" s="155"/>
      <c r="CI120" s="155"/>
      <c r="CJ120" s="155"/>
      <c r="CK120" s="155"/>
      <c r="CL120" s="155"/>
      <c r="CM120" s="155"/>
      <c r="CN120" s="155"/>
      <c r="CO120" s="155"/>
      <c r="CP120" s="155"/>
      <c r="CQ120" s="155"/>
      <c r="CR120" s="155"/>
      <c r="CS120" s="155"/>
      <c r="CT120" s="155"/>
      <c r="CU120" s="155"/>
      <c r="CV120" s="155"/>
      <c r="CW120" s="155"/>
      <c r="CX120" s="155"/>
      <c r="CY120" s="155"/>
      <c r="CZ120" s="155"/>
      <c r="DA120" s="155"/>
      <c r="DB120" s="155"/>
      <c r="DC120" s="155"/>
      <c r="DD120" s="155"/>
      <c r="DE120" s="155"/>
      <c r="DF120" s="155"/>
      <c r="DG120" s="155"/>
      <c r="DH120" s="155"/>
      <c r="DI120" s="155"/>
      <c r="DJ120" s="155"/>
      <c r="DK120" s="155"/>
      <c r="DL120" s="155"/>
      <c r="DM120" s="155"/>
      <c r="DN120" s="155"/>
      <c r="DO120" s="155"/>
      <c r="DP120" s="155"/>
      <c r="DQ120" s="155"/>
      <c r="DR120" s="155"/>
    </row>
    <row r="121" spans="1:122" ht="17" customHeight="1" x14ac:dyDescent="0.3">
      <c r="A121" s="155"/>
      <c r="B121" s="247" t="str">
        <f t="shared" si="9"/>
        <v>2021-22</v>
      </c>
      <c r="C121" s="250"/>
      <c r="D121" s="526">
        <v>0</v>
      </c>
      <c r="E121" s="526">
        <v>1390669</v>
      </c>
      <c r="F121" s="527">
        <v>1390669</v>
      </c>
      <c r="G121" s="523">
        <f>C121+D121+E121-F121</f>
        <v>0</v>
      </c>
      <c r="H121" s="523">
        <f t="shared" si="10"/>
        <v>0</v>
      </c>
      <c r="I121" s="268"/>
      <c r="J121" s="256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  <c r="CE121" s="155"/>
      <c r="CF121" s="155"/>
      <c r="CG121" s="155"/>
      <c r="CH121" s="155"/>
      <c r="CI121" s="155"/>
      <c r="CJ121" s="155"/>
      <c r="CK121" s="155"/>
      <c r="CL121" s="155"/>
      <c r="CM121" s="155"/>
      <c r="CN121" s="155"/>
      <c r="CO121" s="155"/>
      <c r="CP121" s="155"/>
      <c r="CQ121" s="155"/>
      <c r="CR121" s="155"/>
      <c r="CS121" s="155"/>
      <c r="CT121" s="155"/>
      <c r="CU121" s="155"/>
      <c r="CV121" s="155"/>
      <c r="CW121" s="155"/>
      <c r="CX121" s="155"/>
      <c r="CY121" s="155"/>
      <c r="CZ121" s="155"/>
      <c r="DA121" s="155"/>
      <c r="DB121" s="155"/>
      <c r="DC121" s="155"/>
      <c r="DD121" s="155"/>
      <c r="DE121" s="155"/>
      <c r="DF121" s="155"/>
      <c r="DG121" s="155"/>
      <c r="DH121" s="155"/>
      <c r="DI121" s="155"/>
      <c r="DJ121" s="155"/>
      <c r="DK121" s="155"/>
      <c r="DL121" s="155"/>
      <c r="DM121" s="155"/>
      <c r="DN121" s="155"/>
      <c r="DO121" s="155"/>
      <c r="DP121" s="155"/>
      <c r="DQ121" s="155"/>
      <c r="DR121" s="155"/>
    </row>
    <row r="122" spans="1:122" ht="17" customHeight="1" x14ac:dyDescent="0.3">
      <c r="A122" s="155"/>
      <c r="B122" s="251" t="str">
        <f t="shared" si="9"/>
        <v>2022-23</v>
      </c>
      <c r="C122" s="269">
        <f>Data!C65+Data!C66</f>
        <v>0</v>
      </c>
      <c r="D122" s="528">
        <f>Data!C64</f>
        <v>0</v>
      </c>
      <c r="E122" s="528">
        <f>Data!C84</f>
        <v>1283553.9102429999</v>
      </c>
      <c r="F122" s="529">
        <f>Data!C85</f>
        <v>1283553.9102429999</v>
      </c>
      <c r="G122" s="529">
        <f>C122+D122+E122-F122</f>
        <v>0</v>
      </c>
      <c r="H122" s="529">
        <f t="shared" si="10"/>
        <v>0</v>
      </c>
      <c r="I122" s="210"/>
      <c r="J122" s="256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  <c r="CE122" s="155"/>
      <c r="CF122" s="155"/>
      <c r="CG122" s="155"/>
      <c r="CH122" s="155"/>
      <c r="CI122" s="155"/>
      <c r="CJ122" s="155"/>
      <c r="CK122" s="155"/>
      <c r="CL122" s="155"/>
      <c r="CM122" s="155"/>
      <c r="CN122" s="155"/>
      <c r="CO122" s="155"/>
      <c r="CP122" s="155"/>
      <c r="CQ122" s="155"/>
      <c r="CR122" s="155"/>
      <c r="CS122" s="155"/>
      <c r="CT122" s="155"/>
      <c r="CU122" s="155"/>
      <c r="CV122" s="155"/>
      <c r="CW122" s="155"/>
      <c r="CX122" s="155"/>
      <c r="CY122" s="155"/>
      <c r="CZ122" s="155"/>
      <c r="DA122" s="155"/>
      <c r="DB122" s="155"/>
      <c r="DC122" s="155"/>
      <c r="DD122" s="155"/>
      <c r="DE122" s="155"/>
      <c r="DF122" s="155"/>
      <c r="DG122" s="155"/>
      <c r="DH122" s="155"/>
      <c r="DI122" s="155"/>
      <c r="DJ122" s="155"/>
      <c r="DK122" s="155"/>
      <c r="DL122" s="155"/>
      <c r="DM122" s="155"/>
      <c r="DN122" s="155"/>
      <c r="DO122" s="155"/>
      <c r="DP122" s="155"/>
      <c r="DQ122" s="155"/>
      <c r="DR122" s="155"/>
    </row>
    <row r="123" spans="1:122" ht="17" customHeight="1" x14ac:dyDescent="0.3">
      <c r="A123" s="155"/>
      <c r="B123" s="251" t="str">
        <f t="shared" si="9"/>
        <v>2023-24</v>
      </c>
      <c r="C123" s="250"/>
      <c r="D123" s="528">
        <f>Data!C68</f>
        <v>0</v>
      </c>
      <c r="E123" s="528">
        <f>Data!D84</f>
        <v>900779.80126730003</v>
      </c>
      <c r="F123" s="529">
        <f>Data!D85</f>
        <v>900779.80126730003</v>
      </c>
      <c r="G123" s="529">
        <f>C123+D123+E123-F123</f>
        <v>0</v>
      </c>
      <c r="H123" s="529">
        <f t="shared" si="10"/>
        <v>0</v>
      </c>
      <c r="I123" s="270"/>
      <c r="J123" s="256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  <c r="CE123" s="155"/>
      <c r="CF123" s="155"/>
      <c r="CG123" s="155"/>
      <c r="CH123" s="155"/>
      <c r="CI123" s="155"/>
      <c r="CJ123" s="155"/>
      <c r="CK123" s="155"/>
      <c r="CL123" s="155"/>
      <c r="CM123" s="155"/>
      <c r="CN123" s="155"/>
      <c r="CO123" s="155"/>
      <c r="CP123" s="155"/>
      <c r="CQ123" s="155"/>
      <c r="CR123" s="155"/>
      <c r="CS123" s="155"/>
      <c r="CT123" s="155"/>
      <c r="CU123" s="155"/>
      <c r="CV123" s="155"/>
      <c r="CW123" s="155"/>
      <c r="CX123" s="155"/>
      <c r="CY123" s="155"/>
      <c r="CZ123" s="155"/>
      <c r="DA123" s="155"/>
      <c r="DB123" s="155"/>
      <c r="DC123" s="155"/>
      <c r="DD123" s="155"/>
      <c r="DE123" s="155"/>
      <c r="DF123" s="155"/>
      <c r="DG123" s="155"/>
      <c r="DH123" s="155"/>
      <c r="DI123" s="155"/>
      <c r="DJ123" s="155"/>
      <c r="DK123" s="155"/>
      <c r="DL123" s="155"/>
      <c r="DM123" s="155"/>
      <c r="DN123" s="155"/>
      <c r="DO123" s="155"/>
      <c r="DP123" s="155"/>
      <c r="DQ123" s="155"/>
      <c r="DR123" s="155"/>
    </row>
    <row r="124" spans="1:122" ht="17" customHeight="1" x14ac:dyDescent="0.3">
      <c r="A124" s="155"/>
      <c r="B124" s="253" t="str">
        <f t="shared" si="9"/>
        <v>2024-25</v>
      </c>
      <c r="C124" s="250"/>
      <c r="D124" s="528">
        <f>Data!D68</f>
        <v>0</v>
      </c>
      <c r="E124" s="528">
        <f>Data!E84</f>
        <v>977170.28139403008</v>
      </c>
      <c r="F124" s="529">
        <f>Data!E85</f>
        <v>977170.28139403008</v>
      </c>
      <c r="G124" s="529">
        <f>C124+D124+E124-F124</f>
        <v>0</v>
      </c>
      <c r="H124" s="529">
        <f t="shared" si="10"/>
        <v>0</v>
      </c>
      <c r="I124" s="210"/>
      <c r="J124" s="256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  <c r="CE124" s="155"/>
      <c r="CF124" s="155"/>
      <c r="CG124" s="155"/>
      <c r="CH124" s="155"/>
      <c r="CI124" s="155"/>
      <c r="CJ124" s="155"/>
      <c r="CK124" s="155"/>
      <c r="CL124" s="155"/>
      <c r="CM124" s="155"/>
      <c r="CN124" s="155"/>
      <c r="CO124" s="155"/>
      <c r="CP124" s="155"/>
      <c r="CQ124" s="155"/>
      <c r="CR124" s="155"/>
      <c r="CS124" s="155"/>
      <c r="CT124" s="155"/>
      <c r="CU124" s="155"/>
      <c r="CV124" s="155"/>
      <c r="CW124" s="155"/>
      <c r="CX124" s="155"/>
      <c r="CY124" s="155"/>
      <c r="CZ124" s="155"/>
      <c r="DA124" s="155"/>
      <c r="DB124" s="155"/>
      <c r="DC124" s="155"/>
      <c r="DD124" s="155"/>
      <c r="DE124" s="155"/>
      <c r="DF124" s="155"/>
      <c r="DG124" s="155"/>
      <c r="DH124" s="155"/>
      <c r="DI124" s="155"/>
      <c r="DJ124" s="155"/>
      <c r="DK124" s="155"/>
      <c r="DL124" s="155"/>
      <c r="DM124" s="155"/>
      <c r="DN124" s="155"/>
      <c r="DO124" s="155"/>
      <c r="DP124" s="155"/>
      <c r="DQ124" s="155"/>
      <c r="DR124" s="155"/>
    </row>
    <row r="125" spans="1:122" s="24" customFormat="1" ht="8.25" customHeight="1" x14ac:dyDescent="0.3">
      <c r="A125" s="215"/>
      <c r="B125" s="254"/>
      <c r="C125" s="255"/>
      <c r="D125" s="255"/>
      <c r="E125" s="255"/>
      <c r="F125" s="255"/>
      <c r="G125" s="255"/>
      <c r="H125" s="271"/>
      <c r="I125" s="210"/>
      <c r="J125" s="256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215"/>
      <c r="CO125" s="215"/>
      <c r="CP125" s="215"/>
      <c r="CQ125" s="215"/>
      <c r="CR125" s="215"/>
      <c r="CS125" s="215"/>
      <c r="CT125" s="215"/>
      <c r="CU125" s="215"/>
      <c r="CV125" s="215"/>
      <c r="CW125" s="215"/>
      <c r="CX125" s="215"/>
      <c r="CY125" s="215"/>
      <c r="CZ125" s="215"/>
      <c r="DA125" s="215"/>
      <c r="DB125" s="215"/>
      <c r="DC125" s="215"/>
      <c r="DD125" s="215"/>
      <c r="DE125" s="215"/>
      <c r="DF125" s="215"/>
      <c r="DG125" s="215"/>
      <c r="DH125" s="215"/>
      <c r="DI125" s="215"/>
      <c r="DJ125" s="215"/>
      <c r="DK125" s="215"/>
      <c r="DL125" s="215"/>
      <c r="DM125" s="215"/>
      <c r="DN125" s="215"/>
      <c r="DO125" s="215"/>
      <c r="DP125" s="215"/>
      <c r="DQ125" s="215"/>
      <c r="DR125" s="215"/>
    </row>
    <row r="126" spans="1:122" s="24" customFormat="1" ht="17" customHeight="1" x14ac:dyDescent="0.3">
      <c r="A126" s="215"/>
      <c r="B126" s="257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255"/>
      <c r="D126" s="255"/>
      <c r="E126" s="255"/>
      <c r="F126" s="255"/>
      <c r="G126" s="255"/>
      <c r="H126" s="255"/>
      <c r="I126" s="210"/>
      <c r="J126" s="256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215"/>
      <c r="CO126" s="215"/>
      <c r="CP126" s="215"/>
      <c r="CQ126" s="215"/>
      <c r="CR126" s="215"/>
      <c r="CS126" s="215"/>
      <c r="CT126" s="215"/>
      <c r="CU126" s="215"/>
      <c r="CV126" s="215"/>
      <c r="CW126" s="215"/>
      <c r="CX126" s="215"/>
      <c r="CY126" s="215"/>
      <c r="CZ126" s="215"/>
      <c r="DA126" s="215"/>
      <c r="DB126" s="215"/>
      <c r="DC126" s="215"/>
      <c r="DD126" s="215"/>
      <c r="DE126" s="215"/>
      <c r="DF126" s="215"/>
      <c r="DG126" s="215"/>
      <c r="DH126" s="215"/>
      <c r="DI126" s="215"/>
      <c r="DJ126" s="215"/>
      <c r="DK126" s="215"/>
      <c r="DL126" s="215"/>
      <c r="DM126" s="215"/>
      <c r="DN126" s="215"/>
      <c r="DO126" s="215"/>
      <c r="DP126" s="215"/>
      <c r="DQ126" s="215"/>
      <c r="DR126" s="215"/>
    </row>
    <row r="127" spans="1:122" s="24" customFormat="1" ht="17" customHeight="1" thickBot="1" x14ac:dyDescent="0.35">
      <c r="A127" s="215"/>
      <c r="B127" s="254"/>
      <c r="C127" s="255"/>
      <c r="D127" s="255"/>
      <c r="E127" s="255"/>
      <c r="F127" s="255"/>
      <c r="G127" s="255"/>
      <c r="H127" s="255"/>
      <c r="I127" s="210"/>
      <c r="J127" s="256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215"/>
      <c r="CO127" s="215"/>
      <c r="CP127" s="215"/>
      <c r="CQ127" s="215"/>
      <c r="CR127" s="215"/>
      <c r="CS127" s="215"/>
      <c r="CT127" s="215"/>
      <c r="CU127" s="215"/>
      <c r="CV127" s="215"/>
      <c r="CW127" s="215"/>
      <c r="CX127" s="215"/>
      <c r="CY127" s="215"/>
      <c r="CZ127" s="215"/>
      <c r="DA127" s="215"/>
      <c r="DB127" s="215"/>
      <c r="DC127" s="215"/>
      <c r="DD127" s="215"/>
      <c r="DE127" s="215"/>
      <c r="DF127" s="215"/>
      <c r="DG127" s="215"/>
      <c r="DH127" s="215"/>
      <c r="DI127" s="215"/>
      <c r="DJ127" s="215"/>
      <c r="DK127" s="215"/>
      <c r="DL127" s="215"/>
      <c r="DM127" s="215"/>
      <c r="DN127" s="215"/>
      <c r="DO127" s="215"/>
      <c r="DP127" s="215"/>
      <c r="DQ127" s="215"/>
      <c r="DR127" s="215"/>
    </row>
    <row r="128" spans="1:122" s="24" customFormat="1" ht="17" customHeight="1" thickBot="1" x14ac:dyDescent="0.35">
      <c r="A128" s="215"/>
      <c r="B128" s="685" t="s">
        <v>210</v>
      </c>
      <c r="C128" s="686"/>
      <c r="D128" s="686"/>
      <c r="E128" s="686"/>
      <c r="F128" s="686"/>
      <c r="G128" s="686"/>
      <c r="H128" s="686"/>
      <c r="I128" s="686"/>
      <c r="J128" s="687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215"/>
      <c r="CO128" s="215"/>
      <c r="CP128" s="215"/>
      <c r="CQ128" s="215"/>
      <c r="CR128" s="215"/>
      <c r="CS128" s="215"/>
      <c r="CT128" s="215"/>
      <c r="CU128" s="215"/>
      <c r="CV128" s="215"/>
      <c r="CW128" s="215"/>
      <c r="CX128" s="215"/>
      <c r="CY128" s="215"/>
      <c r="CZ128" s="215"/>
      <c r="DA128" s="215"/>
      <c r="DB128" s="215"/>
      <c r="DC128" s="215"/>
      <c r="DD128" s="215"/>
      <c r="DE128" s="215"/>
      <c r="DF128" s="215"/>
      <c r="DG128" s="215"/>
      <c r="DH128" s="215"/>
      <c r="DI128" s="215"/>
      <c r="DJ128" s="215"/>
      <c r="DK128" s="215"/>
      <c r="DL128" s="215"/>
      <c r="DM128" s="215"/>
      <c r="DN128" s="215"/>
      <c r="DO128" s="215"/>
      <c r="DP128" s="215"/>
      <c r="DQ128" s="215"/>
      <c r="DR128" s="215"/>
    </row>
    <row r="129" spans="1:122" s="24" customFormat="1" ht="33" customHeight="1" x14ac:dyDescent="0.3">
      <c r="A129" s="215"/>
      <c r="B129" s="682"/>
      <c r="C129" s="683"/>
      <c r="D129" s="683"/>
      <c r="E129" s="683"/>
      <c r="F129" s="683"/>
      <c r="G129" s="683"/>
      <c r="H129" s="683"/>
      <c r="I129" s="683"/>
      <c r="J129" s="684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215"/>
      <c r="CO129" s="215"/>
      <c r="CP129" s="215"/>
      <c r="CQ129" s="215"/>
      <c r="CR129" s="215"/>
      <c r="CS129" s="215"/>
      <c r="CT129" s="215"/>
      <c r="CU129" s="215"/>
      <c r="CV129" s="215"/>
      <c r="CW129" s="215"/>
      <c r="CX129" s="215"/>
      <c r="CY129" s="215"/>
      <c r="CZ129" s="215"/>
      <c r="DA129" s="215"/>
      <c r="DB129" s="215"/>
      <c r="DC129" s="215"/>
      <c r="DD129" s="215"/>
      <c r="DE129" s="215"/>
      <c r="DF129" s="215"/>
      <c r="DG129" s="215"/>
      <c r="DH129" s="215"/>
      <c r="DI129" s="215"/>
      <c r="DJ129" s="215"/>
      <c r="DK129" s="215"/>
      <c r="DL129" s="215"/>
      <c r="DM129" s="215"/>
      <c r="DN129" s="215"/>
      <c r="DO129" s="215"/>
      <c r="DP129" s="215"/>
      <c r="DQ129" s="215"/>
      <c r="DR129" s="215"/>
    </row>
    <row r="130" spans="1:122" s="24" customFormat="1" ht="17" customHeight="1" thickBot="1" x14ac:dyDescent="0.35">
      <c r="A130" s="215"/>
      <c r="B130" s="209"/>
      <c r="C130" s="272"/>
      <c r="D130" s="272"/>
      <c r="E130" s="272"/>
      <c r="F130" s="272"/>
      <c r="G130" s="272"/>
      <c r="H130" s="273"/>
      <c r="I130" s="210"/>
      <c r="J130" s="256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215"/>
      <c r="CO130" s="215"/>
      <c r="CP130" s="215"/>
      <c r="CQ130" s="215"/>
      <c r="CR130" s="215"/>
      <c r="CS130" s="215"/>
      <c r="CT130" s="215"/>
      <c r="CU130" s="215"/>
      <c r="CV130" s="215"/>
      <c r="CW130" s="215"/>
      <c r="CX130" s="215"/>
      <c r="CY130" s="215"/>
      <c r="CZ130" s="215"/>
      <c r="DA130" s="215"/>
      <c r="DB130" s="215"/>
      <c r="DC130" s="215"/>
      <c r="DD130" s="215"/>
      <c r="DE130" s="215"/>
      <c r="DF130" s="215"/>
      <c r="DG130" s="215"/>
      <c r="DH130" s="215"/>
      <c r="DI130" s="215"/>
      <c r="DJ130" s="215"/>
      <c r="DK130" s="215"/>
      <c r="DL130" s="215"/>
      <c r="DM130" s="215"/>
      <c r="DN130" s="215"/>
      <c r="DO130" s="215"/>
      <c r="DP130" s="215"/>
      <c r="DQ130" s="215"/>
      <c r="DR130" s="215"/>
    </row>
    <row r="131" spans="1:122" ht="17" customHeight="1" thickBot="1" x14ac:dyDescent="0.35">
      <c r="A131" s="167"/>
      <c r="B131" s="239"/>
      <c r="C131" s="327" t="s">
        <v>243</v>
      </c>
      <c r="D131" s="661" t="s">
        <v>59</v>
      </c>
      <c r="E131" s="662"/>
      <c r="F131" s="662"/>
      <c r="G131" s="662"/>
      <c r="H131" s="663"/>
      <c r="I131" s="261"/>
      <c r="J131" s="274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155"/>
      <c r="BU131" s="155"/>
      <c r="BV131" s="155"/>
      <c r="BW131" s="155"/>
      <c r="BX131" s="155"/>
      <c r="BY131" s="155"/>
      <c r="BZ131" s="155"/>
      <c r="CA131" s="155"/>
      <c r="CB131" s="155"/>
      <c r="CC131" s="155"/>
      <c r="CD131" s="155"/>
      <c r="CE131" s="155"/>
      <c r="CF131" s="155"/>
      <c r="CG131" s="155"/>
      <c r="CH131" s="155"/>
      <c r="CI131" s="155"/>
      <c r="CJ131" s="155"/>
      <c r="CK131" s="155"/>
      <c r="CL131" s="155"/>
      <c r="CM131" s="155"/>
      <c r="CN131" s="155"/>
      <c r="CO131" s="155"/>
      <c r="CP131" s="155"/>
      <c r="CQ131" s="155"/>
      <c r="CR131" s="155"/>
      <c r="CS131" s="155"/>
      <c r="CT131" s="155"/>
      <c r="CU131" s="155"/>
      <c r="CV131" s="155"/>
      <c r="CW131" s="155"/>
      <c r="CX131" s="155"/>
      <c r="CY131" s="155"/>
      <c r="CZ131" s="155"/>
      <c r="DA131" s="155"/>
      <c r="DB131" s="155"/>
      <c r="DC131" s="155"/>
      <c r="DD131" s="155"/>
      <c r="DE131" s="155"/>
      <c r="DF131" s="155"/>
      <c r="DG131" s="155"/>
      <c r="DH131" s="155"/>
      <c r="DI131" s="155"/>
      <c r="DJ131" s="155"/>
      <c r="DK131" s="155"/>
      <c r="DL131" s="155"/>
      <c r="DM131" s="155"/>
      <c r="DN131" s="155"/>
      <c r="DO131" s="155"/>
      <c r="DP131" s="155"/>
      <c r="DQ131" s="155"/>
      <c r="DR131" s="155"/>
    </row>
    <row r="132" spans="1:122" ht="17" customHeight="1" x14ac:dyDescent="0.3">
      <c r="A132" s="155"/>
      <c r="B132" s="239"/>
      <c r="C132" s="239" t="s">
        <v>119</v>
      </c>
      <c r="D132" s="240" t="s">
        <v>44</v>
      </c>
      <c r="E132" s="241" t="s">
        <v>45</v>
      </c>
      <c r="F132" s="241" t="s">
        <v>46</v>
      </c>
      <c r="G132" s="241" t="s">
        <v>47</v>
      </c>
      <c r="H132" s="262" t="s">
        <v>48</v>
      </c>
      <c r="I132" s="263"/>
      <c r="J132" s="264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55"/>
      <c r="BS132" s="155"/>
      <c r="BT132" s="155"/>
      <c r="BU132" s="155"/>
      <c r="BV132" s="155"/>
      <c r="BW132" s="155"/>
      <c r="BX132" s="155"/>
      <c r="BY132" s="155"/>
      <c r="BZ132" s="155"/>
      <c r="CA132" s="155"/>
      <c r="CB132" s="155"/>
      <c r="CC132" s="155"/>
      <c r="CD132" s="155"/>
      <c r="CE132" s="155"/>
      <c r="CF132" s="155"/>
      <c r="CG132" s="155"/>
      <c r="CH132" s="155"/>
      <c r="CI132" s="155"/>
      <c r="CJ132" s="155"/>
      <c r="CK132" s="155"/>
      <c r="CL132" s="155"/>
      <c r="CM132" s="155"/>
      <c r="CN132" s="155"/>
      <c r="CO132" s="155"/>
      <c r="CP132" s="155"/>
      <c r="CQ132" s="155"/>
      <c r="CR132" s="155"/>
      <c r="CS132" s="155"/>
      <c r="CT132" s="155"/>
      <c r="CU132" s="155"/>
      <c r="CV132" s="155"/>
      <c r="CW132" s="155"/>
      <c r="CX132" s="155"/>
      <c r="CY132" s="155"/>
      <c r="CZ132" s="155"/>
      <c r="DA132" s="155"/>
      <c r="DB132" s="155"/>
      <c r="DC132" s="155"/>
      <c r="DD132" s="155"/>
      <c r="DE132" s="155"/>
      <c r="DF132" s="155"/>
      <c r="DG132" s="155"/>
      <c r="DH132" s="155"/>
      <c r="DI132" s="155"/>
      <c r="DJ132" s="155"/>
      <c r="DK132" s="155"/>
      <c r="DL132" s="155"/>
      <c r="DM132" s="155"/>
      <c r="DN132" s="155"/>
      <c r="DO132" s="155"/>
      <c r="DP132" s="155"/>
      <c r="DQ132" s="155"/>
      <c r="DR132" s="155"/>
    </row>
    <row r="133" spans="1:122" ht="17" customHeight="1" x14ac:dyDescent="0.3">
      <c r="A133" s="155"/>
      <c r="B133" s="244"/>
      <c r="C133" s="244" t="s">
        <v>118</v>
      </c>
      <c r="D133" s="245" t="s">
        <v>51</v>
      </c>
      <c r="E133" s="246" t="s">
        <v>52</v>
      </c>
      <c r="F133" s="246" t="s">
        <v>53</v>
      </c>
      <c r="G133" s="242" t="s">
        <v>54</v>
      </c>
      <c r="H133" s="265" t="s">
        <v>55</v>
      </c>
      <c r="I133" s="266"/>
      <c r="J133" s="267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55"/>
      <c r="BS133" s="155"/>
      <c r="BT133" s="155"/>
      <c r="BU133" s="155"/>
      <c r="BV133" s="155"/>
      <c r="BW133" s="155"/>
      <c r="BX133" s="155"/>
      <c r="BY133" s="155"/>
      <c r="BZ133" s="155"/>
      <c r="CA133" s="155"/>
      <c r="CB133" s="155"/>
      <c r="CC133" s="155"/>
      <c r="CD133" s="155"/>
      <c r="CE133" s="155"/>
      <c r="CF133" s="155"/>
      <c r="CG133" s="155"/>
      <c r="CH133" s="155"/>
      <c r="CI133" s="155"/>
      <c r="CJ133" s="155"/>
      <c r="CK133" s="155"/>
      <c r="CL133" s="155"/>
      <c r="CM133" s="155"/>
      <c r="CN133" s="155"/>
      <c r="CO133" s="155"/>
      <c r="CP133" s="155"/>
      <c r="CQ133" s="155"/>
      <c r="CR133" s="155"/>
      <c r="CS133" s="155"/>
      <c r="CT133" s="155"/>
      <c r="CU133" s="155"/>
      <c r="CV133" s="155"/>
      <c r="CW133" s="155"/>
      <c r="CX133" s="155"/>
      <c r="CY133" s="155"/>
      <c r="CZ133" s="155"/>
      <c r="DA133" s="155"/>
      <c r="DB133" s="155"/>
      <c r="DC133" s="155"/>
      <c r="DD133" s="155"/>
      <c r="DE133" s="155"/>
      <c r="DF133" s="155"/>
      <c r="DG133" s="155"/>
      <c r="DH133" s="155"/>
      <c r="DI133" s="155"/>
      <c r="DJ133" s="155"/>
      <c r="DK133" s="155"/>
      <c r="DL133" s="155"/>
      <c r="DM133" s="155"/>
      <c r="DN133" s="155"/>
      <c r="DO133" s="155"/>
      <c r="DP133" s="155"/>
      <c r="DQ133" s="155"/>
      <c r="DR133" s="155"/>
    </row>
    <row r="134" spans="1:122" ht="17" customHeight="1" x14ac:dyDescent="0.3">
      <c r="A134" s="155"/>
      <c r="B134" s="247" t="str">
        <f t="shared" ref="B134:B139" si="11">B119</f>
        <v>2019-20</v>
      </c>
      <c r="C134" s="275"/>
      <c r="D134" s="523">
        <f t="shared" ref="D134:H136" si="12">D104+D119</f>
        <v>-492451</v>
      </c>
      <c r="E134" s="523">
        <f t="shared" si="12"/>
        <v>7115050</v>
      </c>
      <c r="F134" s="523">
        <f t="shared" si="12"/>
        <v>6057354</v>
      </c>
      <c r="G134" s="523">
        <f t="shared" si="12"/>
        <v>565245</v>
      </c>
      <c r="H134" s="523">
        <f t="shared" si="12"/>
        <v>1057696</v>
      </c>
      <c r="I134" s="210"/>
      <c r="J134" s="256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55"/>
      <c r="BS134" s="155"/>
      <c r="BT134" s="155"/>
      <c r="BU134" s="155"/>
      <c r="BV134" s="155"/>
      <c r="BW134" s="155"/>
      <c r="BX134" s="155"/>
      <c r="BY134" s="155"/>
      <c r="BZ134" s="155"/>
      <c r="CA134" s="155"/>
      <c r="CB134" s="155"/>
      <c r="CC134" s="155"/>
      <c r="CD134" s="155"/>
      <c r="CE134" s="155"/>
      <c r="CF134" s="155"/>
      <c r="CG134" s="155"/>
      <c r="CH134" s="155"/>
      <c r="CI134" s="155"/>
      <c r="CJ134" s="155"/>
      <c r="CK134" s="155"/>
      <c r="CL134" s="155"/>
      <c r="CM134" s="155"/>
      <c r="CN134" s="155"/>
      <c r="CO134" s="155"/>
      <c r="CP134" s="155"/>
      <c r="CQ134" s="155"/>
      <c r="CR134" s="155"/>
      <c r="CS134" s="155"/>
      <c r="CT134" s="155"/>
      <c r="CU134" s="155"/>
      <c r="CV134" s="155"/>
      <c r="CW134" s="155"/>
      <c r="CX134" s="155"/>
      <c r="CY134" s="155"/>
      <c r="CZ134" s="155"/>
      <c r="DA134" s="155"/>
      <c r="DB134" s="155"/>
      <c r="DC134" s="155"/>
      <c r="DD134" s="155"/>
      <c r="DE134" s="155"/>
      <c r="DF134" s="155"/>
      <c r="DG134" s="155"/>
      <c r="DH134" s="155"/>
      <c r="DI134" s="155"/>
      <c r="DJ134" s="155"/>
      <c r="DK134" s="155"/>
      <c r="DL134" s="155"/>
      <c r="DM134" s="155"/>
      <c r="DN134" s="155"/>
      <c r="DO134" s="155"/>
      <c r="DP134" s="155"/>
      <c r="DQ134" s="155"/>
      <c r="DR134" s="155"/>
    </row>
    <row r="135" spans="1:122" ht="17" customHeight="1" x14ac:dyDescent="0.3">
      <c r="A135" s="155"/>
      <c r="B135" s="247" t="str">
        <f t="shared" si="11"/>
        <v>2020-21</v>
      </c>
      <c r="C135" s="276"/>
      <c r="D135" s="523">
        <f t="shared" si="12"/>
        <v>565245</v>
      </c>
      <c r="E135" s="523">
        <f t="shared" si="12"/>
        <v>7278874</v>
      </c>
      <c r="F135" s="523">
        <f t="shared" si="12"/>
        <v>6491603</v>
      </c>
      <c r="G135" s="523">
        <f t="shared" si="12"/>
        <v>1352516</v>
      </c>
      <c r="H135" s="523">
        <f t="shared" si="12"/>
        <v>787271</v>
      </c>
      <c r="I135" s="210"/>
      <c r="J135" s="256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55"/>
      <c r="BS135" s="155"/>
      <c r="BT135" s="155"/>
      <c r="BU135" s="155"/>
      <c r="BV135" s="155"/>
      <c r="BW135" s="155"/>
      <c r="BX135" s="155"/>
      <c r="BY135" s="155"/>
      <c r="BZ135" s="155"/>
      <c r="CA135" s="155"/>
      <c r="CB135" s="155"/>
      <c r="CC135" s="155"/>
      <c r="CD135" s="155"/>
      <c r="CE135" s="155"/>
      <c r="CF135" s="155"/>
      <c r="CG135" s="155"/>
      <c r="CH135" s="155"/>
      <c r="CI135" s="155"/>
      <c r="CJ135" s="155"/>
      <c r="CK135" s="155"/>
      <c r="CL135" s="155"/>
      <c r="CM135" s="155"/>
      <c r="CN135" s="155"/>
      <c r="CO135" s="155"/>
      <c r="CP135" s="155"/>
      <c r="CQ135" s="155"/>
      <c r="CR135" s="155"/>
      <c r="CS135" s="155"/>
      <c r="CT135" s="155"/>
      <c r="CU135" s="155"/>
      <c r="CV135" s="155"/>
      <c r="CW135" s="155"/>
      <c r="CX135" s="155"/>
      <c r="CY135" s="155"/>
      <c r="CZ135" s="155"/>
      <c r="DA135" s="155"/>
      <c r="DB135" s="155"/>
      <c r="DC135" s="155"/>
      <c r="DD135" s="155"/>
      <c r="DE135" s="155"/>
      <c r="DF135" s="155"/>
      <c r="DG135" s="155"/>
      <c r="DH135" s="155"/>
      <c r="DI135" s="155"/>
      <c r="DJ135" s="155"/>
      <c r="DK135" s="155"/>
      <c r="DL135" s="155"/>
      <c r="DM135" s="155"/>
      <c r="DN135" s="155"/>
      <c r="DO135" s="155"/>
      <c r="DP135" s="155"/>
      <c r="DQ135" s="155"/>
      <c r="DR135" s="155"/>
    </row>
    <row r="136" spans="1:122" ht="17" customHeight="1" x14ac:dyDescent="0.3">
      <c r="A136" s="155"/>
      <c r="B136" s="247" t="str">
        <f t="shared" si="11"/>
        <v>2021-22</v>
      </c>
      <c r="C136" s="276"/>
      <c r="D136" s="523">
        <f t="shared" si="12"/>
        <v>1352516</v>
      </c>
      <c r="E136" s="523">
        <f t="shared" si="12"/>
        <v>9757983</v>
      </c>
      <c r="F136" s="523">
        <f t="shared" si="12"/>
        <v>9567026</v>
      </c>
      <c r="G136" s="523">
        <f t="shared" si="12"/>
        <v>1543473</v>
      </c>
      <c r="H136" s="523">
        <f t="shared" si="12"/>
        <v>190957</v>
      </c>
      <c r="I136" s="210"/>
      <c r="J136" s="256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55"/>
      <c r="BS136" s="155"/>
      <c r="BT136" s="155"/>
      <c r="BU136" s="155"/>
      <c r="BV136" s="155"/>
      <c r="BW136" s="155"/>
      <c r="BX136" s="155"/>
      <c r="BY136" s="155"/>
      <c r="BZ136" s="155"/>
      <c r="CA136" s="155"/>
      <c r="CB136" s="155"/>
      <c r="CC136" s="155"/>
      <c r="CD136" s="155"/>
      <c r="CE136" s="155"/>
      <c r="CF136" s="155"/>
      <c r="CG136" s="155"/>
      <c r="CH136" s="155"/>
      <c r="CI136" s="155"/>
      <c r="CJ136" s="155"/>
      <c r="CK136" s="155"/>
      <c r="CL136" s="155"/>
      <c r="CM136" s="155"/>
      <c r="CN136" s="155"/>
      <c r="CO136" s="155"/>
      <c r="CP136" s="155"/>
      <c r="CQ136" s="155"/>
      <c r="CR136" s="155"/>
      <c r="CS136" s="155"/>
      <c r="CT136" s="155"/>
      <c r="CU136" s="155"/>
      <c r="CV136" s="155"/>
      <c r="CW136" s="155"/>
      <c r="CX136" s="155"/>
      <c r="CY136" s="155"/>
      <c r="CZ136" s="155"/>
      <c r="DA136" s="155"/>
      <c r="DB136" s="155"/>
      <c r="DC136" s="155"/>
      <c r="DD136" s="155"/>
      <c r="DE136" s="155"/>
      <c r="DF136" s="155"/>
      <c r="DG136" s="155"/>
      <c r="DH136" s="155"/>
      <c r="DI136" s="155"/>
      <c r="DJ136" s="155"/>
      <c r="DK136" s="155"/>
      <c r="DL136" s="155"/>
      <c r="DM136" s="155"/>
      <c r="DN136" s="155"/>
      <c r="DO136" s="155"/>
      <c r="DP136" s="155"/>
      <c r="DQ136" s="155"/>
      <c r="DR136" s="155"/>
    </row>
    <row r="137" spans="1:122" ht="17" customHeight="1" x14ac:dyDescent="0.3">
      <c r="A137" s="155"/>
      <c r="B137" s="251" t="str">
        <f t="shared" si="11"/>
        <v>2022-23</v>
      </c>
      <c r="C137" s="269">
        <f t="shared" ref="C137:F139" si="13">C107+C122</f>
        <v>0</v>
      </c>
      <c r="D137" s="523">
        <f t="shared" si="13"/>
        <v>1543472.6318229996</v>
      </c>
      <c r="E137" s="523">
        <f t="shared" si="13"/>
        <v>10783467.823621601</v>
      </c>
      <c r="F137" s="523">
        <f t="shared" si="13"/>
        <v>10583331</v>
      </c>
      <c r="G137" s="523">
        <f>C137+D137+E137-F137</f>
        <v>1743609.4554446004</v>
      </c>
      <c r="H137" s="523">
        <f>E137-F137</f>
        <v>200136.82362160087</v>
      </c>
      <c r="I137" s="210"/>
      <c r="J137" s="256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55"/>
      <c r="BS137" s="155"/>
      <c r="BT137" s="155"/>
      <c r="BU137" s="155"/>
      <c r="BV137" s="155"/>
      <c r="BW137" s="155"/>
      <c r="BX137" s="155"/>
      <c r="BY137" s="155"/>
      <c r="BZ137" s="155"/>
      <c r="CA137" s="155"/>
      <c r="CB137" s="155"/>
      <c r="CC137" s="155"/>
      <c r="CD137" s="155"/>
      <c r="CE137" s="155"/>
      <c r="CF137" s="155"/>
      <c r="CG137" s="155"/>
      <c r="CH137" s="155"/>
      <c r="CI137" s="155"/>
      <c r="CJ137" s="155"/>
      <c r="CK137" s="155"/>
      <c r="CL137" s="155"/>
      <c r="CM137" s="155"/>
      <c r="CN137" s="155"/>
      <c r="CO137" s="155"/>
      <c r="CP137" s="155"/>
      <c r="CQ137" s="155"/>
      <c r="CR137" s="155"/>
      <c r="CS137" s="155"/>
      <c r="CT137" s="155"/>
      <c r="CU137" s="155"/>
      <c r="CV137" s="155"/>
      <c r="CW137" s="155"/>
      <c r="CX137" s="155"/>
      <c r="CY137" s="155"/>
      <c r="CZ137" s="155"/>
      <c r="DA137" s="155"/>
      <c r="DB137" s="155"/>
      <c r="DC137" s="155"/>
      <c r="DD137" s="155"/>
      <c r="DE137" s="155"/>
      <c r="DF137" s="155"/>
      <c r="DG137" s="155"/>
      <c r="DH137" s="155"/>
      <c r="DI137" s="155"/>
      <c r="DJ137" s="155"/>
      <c r="DK137" s="155"/>
      <c r="DL137" s="155"/>
      <c r="DM137" s="155"/>
      <c r="DN137" s="155"/>
      <c r="DO137" s="155"/>
      <c r="DP137" s="155"/>
      <c r="DQ137" s="155"/>
      <c r="DR137" s="155"/>
    </row>
    <row r="138" spans="1:122" ht="17" customHeight="1" x14ac:dyDescent="0.3">
      <c r="A138" s="155"/>
      <c r="B138" s="251" t="str">
        <f t="shared" si="11"/>
        <v>2023-24</v>
      </c>
      <c r="C138" s="276"/>
      <c r="D138" s="523">
        <f t="shared" si="13"/>
        <v>1743609.4554446004</v>
      </c>
      <c r="E138" s="523">
        <f t="shared" si="13"/>
        <v>11709960.005983759</v>
      </c>
      <c r="F138" s="523">
        <f t="shared" si="13"/>
        <v>11650507</v>
      </c>
      <c r="G138" s="523">
        <f>G108+G123</f>
        <v>1803062.4614283592</v>
      </c>
      <c r="H138" s="523">
        <f>H108+H123</f>
        <v>59453.005983758718</v>
      </c>
      <c r="I138" s="210"/>
      <c r="J138" s="256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5"/>
      <c r="BY138" s="155"/>
      <c r="BZ138" s="155"/>
      <c r="CA138" s="155"/>
      <c r="CB138" s="155"/>
      <c r="CC138" s="155"/>
      <c r="CD138" s="155"/>
      <c r="CE138" s="155"/>
      <c r="CF138" s="155"/>
      <c r="CG138" s="155"/>
      <c r="CH138" s="155"/>
      <c r="CI138" s="155"/>
      <c r="CJ138" s="155"/>
      <c r="CK138" s="155"/>
      <c r="CL138" s="155"/>
      <c r="CM138" s="155"/>
      <c r="CN138" s="155"/>
      <c r="CO138" s="155"/>
      <c r="CP138" s="155"/>
      <c r="CQ138" s="155"/>
      <c r="CR138" s="155"/>
      <c r="CS138" s="155"/>
      <c r="CT138" s="155"/>
      <c r="CU138" s="155"/>
      <c r="CV138" s="155"/>
      <c r="CW138" s="155"/>
      <c r="CX138" s="155"/>
      <c r="CY138" s="155"/>
      <c r="CZ138" s="155"/>
      <c r="DA138" s="155"/>
      <c r="DB138" s="155"/>
      <c r="DC138" s="155"/>
      <c r="DD138" s="155"/>
      <c r="DE138" s="155"/>
      <c r="DF138" s="155"/>
      <c r="DG138" s="155"/>
      <c r="DH138" s="155"/>
      <c r="DI138" s="155"/>
      <c r="DJ138" s="155"/>
      <c r="DK138" s="155"/>
      <c r="DL138" s="155"/>
      <c r="DM138" s="155"/>
      <c r="DN138" s="155"/>
      <c r="DO138" s="155"/>
      <c r="DP138" s="155"/>
      <c r="DQ138" s="155"/>
      <c r="DR138" s="155"/>
    </row>
    <row r="139" spans="1:122" ht="17" customHeight="1" x14ac:dyDescent="0.3">
      <c r="A139" s="155"/>
      <c r="B139" s="253" t="str">
        <f t="shared" si="11"/>
        <v>2024-25</v>
      </c>
      <c r="C139" s="276"/>
      <c r="D139" s="523">
        <f t="shared" si="13"/>
        <v>1803062.4614283592</v>
      </c>
      <c r="E139" s="523">
        <f t="shared" si="13"/>
        <v>13293028.606582137</v>
      </c>
      <c r="F139" s="523">
        <f t="shared" si="13"/>
        <v>12808982</v>
      </c>
      <c r="G139" s="523">
        <f>G109+G124</f>
        <v>2287109.068010496</v>
      </c>
      <c r="H139" s="523">
        <f>H109+H124</f>
        <v>484046.60658213682</v>
      </c>
      <c r="I139" s="210"/>
      <c r="J139" s="256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  <c r="CT139" s="155"/>
      <c r="CU139" s="155"/>
      <c r="CV139" s="155"/>
      <c r="CW139" s="155"/>
      <c r="CX139" s="155"/>
      <c r="CY139" s="155"/>
      <c r="CZ139" s="155"/>
      <c r="DA139" s="155"/>
      <c r="DB139" s="155"/>
      <c r="DC139" s="155"/>
      <c r="DD139" s="155"/>
      <c r="DE139" s="155"/>
      <c r="DF139" s="155"/>
      <c r="DG139" s="155"/>
      <c r="DH139" s="155"/>
      <c r="DI139" s="155"/>
      <c r="DJ139" s="155"/>
      <c r="DK139" s="155"/>
      <c r="DL139" s="155"/>
      <c r="DM139" s="155"/>
      <c r="DN139" s="155"/>
      <c r="DO139" s="155"/>
      <c r="DP139" s="155"/>
      <c r="DQ139" s="155"/>
      <c r="DR139" s="155"/>
    </row>
    <row r="140" spans="1:122" s="24" customFormat="1" ht="17" customHeight="1" thickBot="1" x14ac:dyDescent="0.35">
      <c r="A140" s="215"/>
      <c r="B140" s="209"/>
      <c r="C140" s="259"/>
      <c r="D140" s="259"/>
      <c r="E140" s="260"/>
      <c r="F140" s="260"/>
      <c r="G140" s="259"/>
      <c r="H140" s="210"/>
      <c r="I140" s="256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215"/>
      <c r="CO140" s="215"/>
      <c r="CP140" s="215"/>
      <c r="CQ140" s="215"/>
      <c r="CR140" s="215"/>
      <c r="CS140" s="215"/>
      <c r="CT140" s="215"/>
      <c r="CU140" s="215"/>
      <c r="CV140" s="215"/>
      <c r="CW140" s="215"/>
      <c r="CX140" s="215"/>
      <c r="CY140" s="215"/>
      <c r="CZ140" s="215"/>
      <c r="DA140" s="215"/>
      <c r="DB140" s="215"/>
      <c r="DC140" s="215"/>
      <c r="DD140" s="215"/>
      <c r="DE140" s="215"/>
      <c r="DF140" s="215"/>
      <c r="DG140" s="215"/>
      <c r="DH140" s="215"/>
      <c r="DI140" s="215"/>
      <c r="DJ140" s="215"/>
      <c r="DK140" s="215"/>
      <c r="DL140" s="215"/>
      <c r="DM140" s="215"/>
      <c r="DN140" s="215"/>
      <c r="DO140" s="215"/>
      <c r="DP140" s="215"/>
      <c r="DQ140" s="215"/>
      <c r="DR140" s="215"/>
    </row>
    <row r="141" spans="1:122" s="24" customFormat="1" ht="33.75" customHeight="1" thickBot="1" x14ac:dyDescent="0.35">
      <c r="A141" s="215"/>
      <c r="B141" s="716" t="s">
        <v>209</v>
      </c>
      <c r="C141" s="717"/>
      <c r="D141" s="717"/>
      <c r="E141" s="717"/>
      <c r="F141" s="717"/>
      <c r="G141" s="717"/>
      <c r="H141" s="717"/>
      <c r="I141" s="717"/>
      <c r="J141" s="718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215"/>
      <c r="CO141" s="215"/>
      <c r="CP141" s="215"/>
      <c r="CQ141" s="215"/>
      <c r="CR141" s="215"/>
      <c r="CS141" s="215"/>
      <c r="CT141" s="215"/>
      <c r="CU141" s="215"/>
      <c r="CV141" s="215"/>
      <c r="CW141" s="215"/>
      <c r="CX141" s="215"/>
      <c r="CY141" s="215"/>
      <c r="CZ141" s="215"/>
      <c r="DA141" s="215"/>
      <c r="DB141" s="215"/>
      <c r="DC141" s="215"/>
      <c r="DD141" s="215"/>
      <c r="DE141" s="215"/>
      <c r="DF141" s="215"/>
      <c r="DG141" s="215"/>
      <c r="DH141" s="215"/>
      <c r="DI141" s="215"/>
      <c r="DJ141" s="215"/>
      <c r="DK141" s="215"/>
      <c r="DL141" s="215"/>
      <c r="DM141" s="215"/>
      <c r="DN141" s="215"/>
      <c r="DO141" s="215"/>
      <c r="DP141" s="215"/>
      <c r="DQ141" s="215"/>
      <c r="DR141" s="215"/>
    </row>
    <row r="142" spans="1:122" s="24" customFormat="1" ht="39.75" customHeight="1" x14ac:dyDescent="0.3">
      <c r="A142" s="215"/>
      <c r="B142" s="738"/>
      <c r="C142" s="739"/>
      <c r="D142" s="739"/>
      <c r="E142" s="739"/>
      <c r="F142" s="739"/>
      <c r="G142" s="739"/>
      <c r="H142" s="739"/>
      <c r="I142" s="739"/>
      <c r="J142" s="740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215"/>
      <c r="CO142" s="215"/>
      <c r="CP142" s="215"/>
      <c r="CQ142" s="215"/>
      <c r="CR142" s="215"/>
      <c r="CS142" s="215"/>
      <c r="CT142" s="215"/>
      <c r="CU142" s="215"/>
      <c r="CV142" s="215"/>
      <c r="CW142" s="215"/>
      <c r="CX142" s="215"/>
      <c r="CY142" s="215"/>
      <c r="CZ142" s="215"/>
      <c r="DA142" s="215"/>
      <c r="DB142" s="215"/>
      <c r="DC142" s="215"/>
      <c r="DD142" s="215"/>
      <c r="DE142" s="215"/>
      <c r="DF142" s="215"/>
      <c r="DG142" s="215"/>
      <c r="DH142" s="215"/>
      <c r="DI142" s="215"/>
      <c r="DJ142" s="215"/>
      <c r="DK142" s="215"/>
      <c r="DL142" s="215"/>
      <c r="DM142" s="215"/>
      <c r="DN142" s="215"/>
      <c r="DO142" s="215"/>
      <c r="DP142" s="215"/>
      <c r="DQ142" s="215"/>
      <c r="DR142" s="215"/>
    </row>
    <row r="143" spans="1:122" ht="17" customHeight="1" x14ac:dyDescent="0.3">
      <c r="A143" s="155"/>
      <c r="B143" s="277"/>
      <c r="C143" s="278"/>
      <c r="D143" s="278"/>
      <c r="E143" s="279"/>
      <c r="F143" s="167" t="s">
        <v>24</v>
      </c>
      <c r="G143" s="280"/>
      <c r="H143" s="169"/>
      <c r="I143" s="168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5"/>
      <c r="BY143" s="155"/>
      <c r="BZ143" s="155"/>
      <c r="CA143" s="155"/>
      <c r="CB143" s="155"/>
      <c r="CC143" s="155"/>
      <c r="CD143" s="155"/>
      <c r="CE143" s="155"/>
      <c r="CF143" s="155"/>
      <c r="CG143" s="155"/>
      <c r="CH143" s="155"/>
      <c r="CI143" s="155"/>
      <c r="CJ143" s="155"/>
      <c r="CK143" s="155"/>
      <c r="CL143" s="155"/>
      <c r="CM143" s="155"/>
      <c r="CN143" s="155"/>
      <c r="CO143" s="155"/>
      <c r="CP143" s="155"/>
      <c r="CQ143" s="155"/>
      <c r="CR143" s="155"/>
      <c r="CS143" s="155"/>
      <c r="CT143" s="155"/>
      <c r="CU143" s="155"/>
      <c r="CV143" s="155"/>
      <c r="CW143" s="155"/>
      <c r="CX143" s="155"/>
      <c r="CY143" s="155"/>
      <c r="CZ143" s="155"/>
      <c r="DA143" s="155"/>
      <c r="DB143" s="155"/>
      <c r="DC143" s="155"/>
      <c r="DD143" s="155"/>
      <c r="DE143" s="155"/>
      <c r="DF143" s="155"/>
      <c r="DG143" s="155"/>
      <c r="DH143" s="155"/>
      <c r="DI143" s="155"/>
      <c r="DJ143" s="155"/>
      <c r="DK143" s="155"/>
      <c r="DL143" s="155"/>
      <c r="DM143" s="155"/>
      <c r="DN143" s="155"/>
      <c r="DO143" s="155"/>
      <c r="DP143" s="155"/>
      <c r="DQ143" s="155"/>
      <c r="DR143" s="155"/>
    </row>
    <row r="144" spans="1:122" s="64" customFormat="1" ht="19.5" customHeight="1" x14ac:dyDescent="0.25">
      <c r="A144" s="281" t="s">
        <v>175</v>
      </c>
      <c r="B144" s="282"/>
      <c r="C144" s="282"/>
      <c r="D144" s="283"/>
      <c r="E144" s="283"/>
      <c r="F144" s="284"/>
      <c r="G144" s="282"/>
      <c r="H144" s="282"/>
      <c r="I144" s="282"/>
      <c r="J144" s="282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216"/>
      <c r="BQ144" s="216"/>
      <c r="BR144" s="216"/>
      <c r="BS144" s="216"/>
      <c r="BT144" s="216"/>
      <c r="BU144" s="216"/>
      <c r="BV144" s="216"/>
      <c r="BW144" s="216"/>
      <c r="BX144" s="216"/>
      <c r="BY144" s="216"/>
      <c r="BZ144" s="216"/>
      <c r="CA144" s="216"/>
      <c r="CB144" s="216"/>
      <c r="CC144" s="216"/>
      <c r="CD144" s="216"/>
      <c r="CE144" s="216"/>
      <c r="CF144" s="216"/>
      <c r="CG144" s="216"/>
      <c r="CH144" s="216"/>
      <c r="CI144" s="216"/>
      <c r="CJ144" s="216"/>
      <c r="CK144" s="216"/>
      <c r="CL144" s="216"/>
      <c r="CM144" s="216"/>
      <c r="CN144" s="216"/>
      <c r="CO144" s="216"/>
      <c r="CP144" s="216"/>
      <c r="CQ144" s="216"/>
      <c r="CR144" s="216"/>
      <c r="CS144" s="216"/>
      <c r="CT144" s="216"/>
      <c r="CU144" s="216"/>
      <c r="CV144" s="216"/>
      <c r="CW144" s="216"/>
      <c r="CX144" s="216"/>
      <c r="CY144" s="216"/>
      <c r="CZ144" s="216"/>
      <c r="DA144" s="216"/>
      <c r="DB144" s="216"/>
      <c r="DC144" s="216"/>
      <c r="DD144" s="216"/>
      <c r="DE144" s="216"/>
      <c r="DF144" s="216"/>
      <c r="DG144" s="216"/>
      <c r="DH144" s="216"/>
      <c r="DI144" s="216"/>
      <c r="DJ144" s="216"/>
      <c r="DK144" s="216"/>
      <c r="DL144" s="216"/>
      <c r="DM144" s="216"/>
      <c r="DN144" s="216"/>
      <c r="DO144" s="216"/>
      <c r="DP144" s="216"/>
      <c r="DQ144" s="216"/>
      <c r="DR144" s="216"/>
    </row>
    <row r="145" spans="1:122" s="4" customFormat="1" ht="17" customHeight="1" x14ac:dyDescent="0.3">
      <c r="A145" s="167"/>
      <c r="B145" s="285" t="s">
        <v>61</v>
      </c>
      <c r="C145" s="286"/>
      <c r="D145" s="286"/>
      <c r="E145" s="330"/>
      <c r="F145" s="213"/>
      <c r="G145" s="287"/>
      <c r="H145" s="263"/>
      <c r="I145" s="287"/>
      <c r="J145" s="155"/>
      <c r="K145" s="155"/>
      <c r="L145" s="15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</row>
    <row r="146" spans="1:122" s="4" customFormat="1" ht="17" customHeight="1" x14ac:dyDescent="0.3">
      <c r="A146" s="167"/>
      <c r="B146" s="286"/>
      <c r="C146" s="286"/>
      <c r="D146" s="286"/>
      <c r="E146" s="636" t="str">
        <f>B137</f>
        <v>2022-23</v>
      </c>
      <c r="F146" s="737"/>
      <c r="G146" s="636" t="str">
        <f>B138</f>
        <v>2023-24</v>
      </c>
      <c r="H146" s="737"/>
      <c r="I146" s="636" t="str">
        <f>B139</f>
        <v>2024-25</v>
      </c>
      <c r="J146" s="636"/>
      <c r="K146" s="155"/>
      <c r="L146" s="15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</row>
    <row r="147" spans="1:122" s="4" customFormat="1" ht="17" customHeight="1" x14ac:dyDescent="0.3">
      <c r="A147" s="167"/>
      <c r="B147" s="286"/>
      <c r="C147" s="286"/>
      <c r="D147" s="288"/>
      <c r="E147" s="331" t="s">
        <v>62</v>
      </c>
      <c r="F147" s="332" t="s">
        <v>63</v>
      </c>
      <c r="G147" s="331" t="s">
        <v>62</v>
      </c>
      <c r="H147" s="332" t="s">
        <v>63</v>
      </c>
      <c r="I147" s="331" t="s">
        <v>62</v>
      </c>
      <c r="J147" s="332" t="s">
        <v>63</v>
      </c>
      <c r="K147" s="155"/>
      <c r="L147" s="15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</row>
    <row r="148" spans="1:122" ht="17" customHeight="1" x14ac:dyDescent="0.3">
      <c r="A148" s="167"/>
      <c r="B148" s="637" t="s">
        <v>207</v>
      </c>
      <c r="C148" s="637"/>
      <c r="D148" s="638"/>
      <c r="E148" s="333">
        <f>E107</f>
        <v>9499913.9133786</v>
      </c>
      <c r="F148" s="333">
        <f>E122</f>
        <v>1283553.9102429999</v>
      </c>
      <c r="G148" s="334">
        <f>E108</f>
        <v>10809180.204716459</v>
      </c>
      <c r="H148" s="334">
        <f>E123</f>
        <v>900779.80126730003</v>
      </c>
      <c r="I148" s="334">
        <f>E109</f>
        <v>12315858.325188106</v>
      </c>
      <c r="J148" s="334">
        <f>E124</f>
        <v>977170.28139403008</v>
      </c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</row>
    <row r="149" spans="1:122" ht="17" customHeight="1" x14ac:dyDescent="0.3">
      <c r="A149" s="167"/>
      <c r="B149" s="637" t="s">
        <v>208</v>
      </c>
      <c r="C149" s="637"/>
      <c r="D149" s="638"/>
      <c r="E149" s="333">
        <f>F107</f>
        <v>9299777.0897569992</v>
      </c>
      <c r="F149" s="333">
        <f>F122</f>
        <v>1283553.9102429999</v>
      </c>
      <c r="G149" s="334">
        <f>F108</f>
        <v>10749727.1987327</v>
      </c>
      <c r="H149" s="334">
        <f>F123</f>
        <v>900779.80126730003</v>
      </c>
      <c r="I149" s="334">
        <f>F109</f>
        <v>11831811.718605969</v>
      </c>
      <c r="J149" s="334">
        <f>F124</f>
        <v>977170.28139403008</v>
      </c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55"/>
      <c r="BS149" s="155"/>
      <c r="BT149" s="155"/>
      <c r="BU149" s="155"/>
      <c r="BV149" s="155"/>
      <c r="BW149" s="155"/>
      <c r="BX149" s="155"/>
      <c r="BY149" s="155"/>
      <c r="BZ149" s="155"/>
      <c r="CA149" s="155"/>
      <c r="CB149" s="155"/>
      <c r="CC149" s="155"/>
      <c r="CD149" s="155"/>
      <c r="CE149" s="155"/>
      <c r="CF149" s="155"/>
      <c r="CG149" s="155"/>
      <c r="CH149" s="155"/>
      <c r="CI149" s="155"/>
      <c r="CJ149" s="155"/>
      <c r="CK149" s="155"/>
      <c r="CL149" s="155"/>
      <c r="CM149" s="155"/>
      <c r="CN149" s="155"/>
      <c r="CO149" s="155"/>
      <c r="CP149" s="155"/>
      <c r="CQ149" s="155"/>
      <c r="CR149" s="155"/>
      <c r="CS149" s="155"/>
      <c r="CT149" s="155"/>
      <c r="CU149" s="155"/>
      <c r="CV149" s="155"/>
      <c r="CW149" s="155"/>
      <c r="CX149" s="155"/>
      <c r="CY149" s="155"/>
      <c r="CZ149" s="155"/>
      <c r="DA149" s="155"/>
      <c r="DB149" s="155"/>
      <c r="DC149" s="155"/>
      <c r="DD149" s="155"/>
      <c r="DE149" s="155"/>
      <c r="DF149" s="155"/>
      <c r="DG149" s="155"/>
      <c r="DH149" s="155"/>
      <c r="DI149" s="155"/>
      <c r="DJ149" s="155"/>
      <c r="DK149" s="155"/>
      <c r="DL149" s="155"/>
      <c r="DM149" s="155"/>
      <c r="DN149" s="155"/>
      <c r="DO149" s="155"/>
      <c r="DP149" s="155"/>
      <c r="DQ149" s="155"/>
      <c r="DR149" s="155"/>
    </row>
    <row r="150" spans="1:122" ht="17" customHeight="1" x14ac:dyDescent="0.3">
      <c r="A150" s="167"/>
      <c r="B150" s="637" t="s">
        <v>64</v>
      </c>
      <c r="C150" s="637"/>
      <c r="D150" s="638"/>
      <c r="E150" s="252">
        <f>C107+D107</f>
        <v>1543472.6318229996</v>
      </c>
      <c r="F150" s="252">
        <f>D122</f>
        <v>0</v>
      </c>
      <c r="G150" s="333">
        <f>D108</f>
        <v>1743609.4554446004</v>
      </c>
      <c r="H150" s="333">
        <f>D123</f>
        <v>0</v>
      </c>
      <c r="I150" s="333">
        <f>G151</f>
        <v>1803062.4614283592</v>
      </c>
      <c r="J150" s="333">
        <f>H151</f>
        <v>0</v>
      </c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155"/>
      <c r="BU150" s="155"/>
      <c r="BV150" s="155"/>
      <c r="BW150" s="155"/>
      <c r="BX150" s="155"/>
      <c r="BY150" s="155"/>
      <c r="BZ150" s="155"/>
      <c r="CA150" s="155"/>
      <c r="CB150" s="155"/>
      <c r="CC150" s="155"/>
      <c r="CD150" s="155"/>
      <c r="CE150" s="155"/>
      <c r="CF150" s="155"/>
      <c r="CG150" s="155"/>
      <c r="CH150" s="155"/>
      <c r="CI150" s="155"/>
      <c r="CJ150" s="155"/>
      <c r="CK150" s="155"/>
      <c r="CL150" s="155"/>
      <c r="CM150" s="155"/>
      <c r="CN150" s="155"/>
      <c r="CO150" s="155"/>
      <c r="CP150" s="155"/>
      <c r="CQ150" s="155"/>
      <c r="CR150" s="155"/>
      <c r="CS150" s="155"/>
      <c r="CT150" s="155"/>
      <c r="CU150" s="155"/>
      <c r="CV150" s="155"/>
      <c r="CW150" s="155"/>
      <c r="CX150" s="155"/>
      <c r="CY150" s="155"/>
      <c r="CZ150" s="155"/>
      <c r="DA150" s="155"/>
      <c r="DB150" s="155"/>
      <c r="DC150" s="155"/>
      <c r="DD150" s="155"/>
      <c r="DE150" s="155"/>
      <c r="DF150" s="155"/>
      <c r="DG150" s="155"/>
      <c r="DH150" s="155"/>
      <c r="DI150" s="155"/>
      <c r="DJ150" s="155"/>
      <c r="DK150" s="155"/>
      <c r="DL150" s="155"/>
      <c r="DM150" s="155"/>
      <c r="DN150" s="155"/>
      <c r="DO150" s="155"/>
      <c r="DP150" s="155"/>
      <c r="DQ150" s="155"/>
      <c r="DR150" s="155"/>
    </row>
    <row r="151" spans="1:122" ht="17" customHeight="1" thickBot="1" x14ac:dyDescent="0.35">
      <c r="A151" s="167"/>
      <c r="B151" s="701" t="s">
        <v>65</v>
      </c>
      <c r="C151" s="701"/>
      <c r="D151" s="702"/>
      <c r="E151" s="520">
        <f>G107</f>
        <v>1743609.4554446004</v>
      </c>
      <c r="F151" s="520">
        <f>G122</f>
        <v>0</v>
      </c>
      <c r="G151" s="520">
        <f>G108</f>
        <v>1803062.4614283592</v>
      </c>
      <c r="H151" s="520">
        <f>G123</f>
        <v>0</v>
      </c>
      <c r="I151" s="520">
        <f>I150+I148-I149</f>
        <v>2287109.068010496</v>
      </c>
      <c r="J151" s="520">
        <f>J150+J148-J149</f>
        <v>0</v>
      </c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5"/>
      <c r="CE151" s="155"/>
      <c r="CF151" s="155"/>
      <c r="CG151" s="155"/>
      <c r="CH151" s="155"/>
      <c r="CI151" s="155"/>
      <c r="CJ151" s="155"/>
      <c r="CK151" s="155"/>
      <c r="CL151" s="155"/>
      <c r="CM151" s="155"/>
      <c r="CN151" s="155"/>
      <c r="CO151" s="155"/>
      <c r="CP151" s="155"/>
      <c r="CQ151" s="155"/>
      <c r="CR151" s="155"/>
      <c r="CS151" s="155"/>
      <c r="CT151" s="155"/>
      <c r="CU151" s="155"/>
      <c r="CV151" s="155"/>
      <c r="CW151" s="155"/>
      <c r="CX151" s="155"/>
      <c r="CY151" s="155"/>
      <c r="CZ151" s="155"/>
      <c r="DA151" s="155"/>
      <c r="DB151" s="155"/>
      <c r="DC151" s="155"/>
      <c r="DD151" s="155"/>
      <c r="DE151" s="155"/>
      <c r="DF151" s="155"/>
      <c r="DG151" s="155"/>
      <c r="DH151" s="155"/>
      <c r="DI151" s="155"/>
      <c r="DJ151" s="155"/>
      <c r="DK151" s="155"/>
      <c r="DL151" s="155"/>
      <c r="DM151" s="155"/>
      <c r="DN151" s="155"/>
      <c r="DO151" s="155"/>
      <c r="DP151" s="155"/>
      <c r="DQ151" s="155"/>
      <c r="DR151" s="155"/>
    </row>
    <row r="152" spans="1:122" ht="33" customHeight="1" thickTop="1" x14ac:dyDescent="0.3">
      <c r="A152" s="167"/>
      <c r="B152" s="713" t="s">
        <v>127</v>
      </c>
      <c r="C152" s="713"/>
      <c r="D152" s="714"/>
      <c r="E152" s="335">
        <f>Data!B51+Data!B52+Data!B53+Data!B54+Data!B55+Data!B56+Data!B57</f>
        <v>0</v>
      </c>
      <c r="F152" s="336"/>
      <c r="G152" s="335">
        <f>Data!D51+Data!D52+Data!D53+Data!D54+Data!D55+Data!D56+Data!D57</f>
        <v>0</v>
      </c>
      <c r="H152" s="336"/>
      <c r="I152" s="335">
        <f>Data!E51+Data!E52+Data!E53+Data!E54+Data!E55+Data!E56+Data!E57</f>
        <v>0</v>
      </c>
      <c r="J152" s="336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5"/>
      <c r="CE152" s="155"/>
      <c r="CF152" s="155"/>
      <c r="CG152" s="155"/>
      <c r="CH152" s="155"/>
      <c r="CI152" s="155"/>
      <c r="CJ152" s="155"/>
      <c r="CK152" s="155"/>
      <c r="CL152" s="155"/>
      <c r="CM152" s="155"/>
      <c r="CN152" s="155"/>
      <c r="CO152" s="155"/>
      <c r="CP152" s="155"/>
      <c r="CQ152" s="155"/>
      <c r="CR152" s="155"/>
      <c r="CS152" s="155"/>
      <c r="CT152" s="155"/>
      <c r="CU152" s="155"/>
      <c r="CV152" s="155"/>
      <c r="CW152" s="155"/>
      <c r="CX152" s="155"/>
      <c r="CY152" s="155"/>
      <c r="CZ152" s="155"/>
      <c r="DA152" s="155"/>
      <c r="DB152" s="155"/>
      <c r="DC152" s="155"/>
      <c r="DD152" s="155"/>
      <c r="DE152" s="155"/>
      <c r="DF152" s="155"/>
      <c r="DG152" s="155"/>
      <c r="DH152" s="155"/>
      <c r="DI152" s="155"/>
      <c r="DJ152" s="155"/>
      <c r="DK152" s="155"/>
      <c r="DL152" s="155"/>
      <c r="DM152" s="155"/>
      <c r="DN152" s="155"/>
      <c r="DO152" s="155"/>
      <c r="DP152" s="155"/>
      <c r="DQ152" s="155"/>
      <c r="DR152" s="155"/>
    </row>
    <row r="153" spans="1:122" ht="17" customHeight="1" x14ac:dyDescent="0.3">
      <c r="A153" s="167"/>
      <c r="B153" s="289" t="s">
        <v>125</v>
      </c>
      <c r="C153" s="290"/>
      <c r="D153" s="291"/>
      <c r="E153" s="333">
        <f>Data!B58</f>
        <v>0</v>
      </c>
      <c r="F153" s="337"/>
      <c r="G153" s="333">
        <f>Data!D58</f>
        <v>0</v>
      </c>
      <c r="H153" s="337"/>
      <c r="I153" s="333">
        <f>Data!E58</f>
        <v>0</v>
      </c>
      <c r="J153" s="337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5"/>
      <c r="CE153" s="155"/>
      <c r="CF153" s="155"/>
      <c r="CG153" s="155"/>
      <c r="CH153" s="155"/>
      <c r="CI153" s="155"/>
      <c r="CJ153" s="155"/>
      <c r="CK153" s="155"/>
      <c r="CL153" s="155"/>
      <c r="CM153" s="155"/>
      <c r="CN153" s="155"/>
      <c r="CO153" s="155"/>
      <c r="CP153" s="155"/>
      <c r="CQ153" s="155"/>
      <c r="CR153" s="155"/>
      <c r="CS153" s="155"/>
      <c r="CT153" s="155"/>
      <c r="CU153" s="155"/>
      <c r="CV153" s="155"/>
      <c r="CW153" s="155"/>
      <c r="CX153" s="155"/>
      <c r="CY153" s="155"/>
      <c r="CZ153" s="155"/>
      <c r="DA153" s="155"/>
      <c r="DB153" s="155"/>
      <c r="DC153" s="155"/>
      <c r="DD153" s="155"/>
      <c r="DE153" s="155"/>
      <c r="DF153" s="155"/>
      <c r="DG153" s="155"/>
      <c r="DH153" s="155"/>
      <c r="DI153" s="155"/>
      <c r="DJ153" s="155"/>
      <c r="DK153" s="155"/>
      <c r="DL153" s="155"/>
      <c r="DM153" s="155"/>
      <c r="DN153" s="155"/>
      <c r="DO153" s="155"/>
      <c r="DP153" s="155"/>
      <c r="DQ153" s="155"/>
      <c r="DR153" s="155"/>
    </row>
    <row r="154" spans="1:122" ht="17" customHeight="1" thickBot="1" x14ac:dyDescent="0.35">
      <c r="A154" s="167"/>
      <c r="B154" s="289" t="s">
        <v>126</v>
      </c>
      <c r="C154" s="290"/>
      <c r="D154" s="291"/>
      <c r="E154" s="338">
        <f>Data!C59</f>
        <v>1743609.4554446004</v>
      </c>
      <c r="F154" s="337"/>
      <c r="G154" s="338">
        <f>Data!D59</f>
        <v>1803062.4614283592</v>
      </c>
      <c r="H154" s="337"/>
      <c r="I154" s="338">
        <f>Data!E59</f>
        <v>2287109.068010496</v>
      </c>
      <c r="J154" s="337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5"/>
      <c r="CE154" s="155"/>
      <c r="CF154" s="155"/>
      <c r="CG154" s="155"/>
      <c r="CH154" s="155"/>
      <c r="CI154" s="155"/>
      <c r="CJ154" s="155"/>
      <c r="CK154" s="155"/>
      <c r="CL154" s="155"/>
      <c r="CM154" s="155"/>
      <c r="CN154" s="155"/>
      <c r="CO154" s="155"/>
      <c r="CP154" s="155"/>
      <c r="CQ154" s="155"/>
      <c r="CR154" s="155"/>
      <c r="CS154" s="155"/>
      <c r="CT154" s="155"/>
      <c r="CU154" s="155"/>
      <c r="CV154" s="155"/>
      <c r="CW154" s="155"/>
      <c r="CX154" s="155"/>
      <c r="CY154" s="155"/>
      <c r="CZ154" s="155"/>
      <c r="DA154" s="155"/>
      <c r="DB154" s="155"/>
      <c r="DC154" s="155"/>
      <c r="DD154" s="155"/>
      <c r="DE154" s="155"/>
      <c r="DF154" s="155"/>
      <c r="DG154" s="155"/>
      <c r="DH154" s="155"/>
      <c r="DI154" s="155"/>
      <c r="DJ154" s="155"/>
      <c r="DK154" s="155"/>
      <c r="DL154" s="155"/>
      <c r="DM154" s="155"/>
      <c r="DN154" s="155"/>
      <c r="DO154" s="155"/>
      <c r="DP154" s="155"/>
      <c r="DQ154" s="155"/>
      <c r="DR154" s="155"/>
    </row>
    <row r="155" spans="1:122" s="11" customFormat="1" ht="17" customHeight="1" thickBot="1" x14ac:dyDescent="0.35">
      <c r="A155" s="222"/>
      <c r="B155" s="292" t="s">
        <v>123</v>
      </c>
      <c r="C155" s="292"/>
      <c r="D155" s="293"/>
      <c r="E155" s="521">
        <f>SUM(E153:E154)</f>
        <v>1743609.4554446004</v>
      </c>
      <c r="F155" s="339"/>
      <c r="G155" s="521">
        <f>SUM(G153:G154)</f>
        <v>1803062.4614283592</v>
      </c>
      <c r="H155" s="339"/>
      <c r="I155" s="521">
        <f>SUM(I153:I154)</f>
        <v>2287109.068010496</v>
      </c>
      <c r="J155" s="340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  <c r="DO155" s="219"/>
      <c r="DP155" s="219"/>
      <c r="DQ155" s="219"/>
      <c r="DR155" s="219"/>
    </row>
    <row r="156" spans="1:122" ht="17" customHeight="1" thickBot="1" x14ac:dyDescent="0.35">
      <c r="A156" s="167"/>
      <c r="B156" s="294"/>
      <c r="C156" s="239"/>
      <c r="D156" s="295" t="s">
        <v>124</v>
      </c>
      <c r="E156" s="296">
        <f>ROUND($E$155/(E149+F149),4)</f>
        <v>0.1648</v>
      </c>
      <c r="F156" s="297"/>
      <c r="G156" s="296">
        <f>$G$155/(G149+H149)</f>
        <v>0.15476257483286857</v>
      </c>
      <c r="H156" s="298"/>
      <c r="I156" s="299">
        <f>$I$155/(I149+J149)</f>
        <v>0.17855510047640757</v>
      </c>
      <c r="J156" s="300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5"/>
      <c r="CE156" s="155"/>
      <c r="CF156" s="155"/>
      <c r="CG156" s="155"/>
      <c r="CH156" s="155"/>
      <c r="CI156" s="155"/>
      <c r="CJ156" s="155"/>
      <c r="CK156" s="155"/>
      <c r="CL156" s="155"/>
      <c r="CM156" s="155"/>
      <c r="CN156" s="155"/>
      <c r="CO156" s="155"/>
      <c r="CP156" s="155"/>
      <c r="CQ156" s="155"/>
      <c r="CR156" s="155"/>
      <c r="CS156" s="155"/>
      <c r="CT156" s="155"/>
      <c r="CU156" s="155"/>
      <c r="CV156" s="155"/>
      <c r="CW156" s="155"/>
      <c r="CX156" s="155"/>
      <c r="CY156" s="155"/>
      <c r="CZ156" s="155"/>
      <c r="DA156" s="155"/>
      <c r="DB156" s="155"/>
      <c r="DC156" s="155"/>
      <c r="DD156" s="155"/>
      <c r="DE156" s="155"/>
      <c r="DF156" s="155"/>
      <c r="DG156" s="155"/>
      <c r="DH156" s="155"/>
      <c r="DI156" s="155"/>
      <c r="DJ156" s="155"/>
      <c r="DK156" s="155"/>
      <c r="DL156" s="155"/>
      <c r="DM156" s="155"/>
      <c r="DN156" s="155"/>
      <c r="DO156" s="155"/>
      <c r="DP156" s="155"/>
      <c r="DQ156" s="155"/>
      <c r="DR156" s="155"/>
    </row>
    <row r="157" spans="1:122" ht="17" customHeight="1" x14ac:dyDescent="0.3">
      <c r="A157" s="167"/>
      <c r="B157" s="294"/>
      <c r="C157" s="239"/>
      <c r="D157" s="301"/>
      <c r="E157" s="297"/>
      <c r="F157" s="297"/>
      <c r="G157" s="302"/>
      <c r="H157" s="298"/>
      <c r="I157" s="303"/>
      <c r="J157" s="300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5"/>
      <c r="CE157" s="155"/>
      <c r="CF157" s="155"/>
      <c r="CG157" s="155"/>
      <c r="CH157" s="155"/>
      <c r="CI157" s="155"/>
      <c r="CJ157" s="155"/>
      <c r="CK157" s="155"/>
      <c r="CL157" s="155"/>
      <c r="CM157" s="155"/>
      <c r="CN157" s="155"/>
      <c r="CO157" s="155"/>
      <c r="CP157" s="155"/>
      <c r="CQ157" s="155"/>
      <c r="CR157" s="155"/>
      <c r="CS157" s="155"/>
      <c r="CT157" s="155"/>
      <c r="CU157" s="155"/>
      <c r="CV157" s="155"/>
      <c r="CW157" s="155"/>
      <c r="CX157" s="155"/>
      <c r="CY157" s="155"/>
      <c r="CZ157" s="155"/>
      <c r="DA157" s="155"/>
      <c r="DB157" s="155"/>
      <c r="DC157" s="155"/>
      <c r="DD157" s="155"/>
      <c r="DE157" s="155"/>
      <c r="DF157" s="155"/>
      <c r="DG157" s="155"/>
      <c r="DH157" s="155"/>
      <c r="DI157" s="155"/>
      <c r="DJ157" s="155"/>
      <c r="DK157" s="155"/>
      <c r="DL157" s="155"/>
      <c r="DM157" s="155"/>
      <c r="DN157" s="155"/>
      <c r="DO157" s="155"/>
      <c r="DP157" s="155"/>
      <c r="DQ157" s="155"/>
      <c r="DR157" s="155"/>
    </row>
    <row r="158" spans="1:122" ht="17" customHeight="1" x14ac:dyDescent="0.3">
      <c r="A158" s="167"/>
      <c r="B158" s="285" t="s">
        <v>122</v>
      </c>
      <c r="C158" s="239"/>
      <c r="D158" s="341">
        <f>IF(Data!C75="",Data!C74,Data!C75)</f>
        <v>0.04</v>
      </c>
      <c r="E158" s="522">
        <f>(E149+F149)*D158</f>
        <v>423333.24</v>
      </c>
      <c r="F158" s="341">
        <f>IF(Data!D76="",Data!D75,Data!D76)</f>
        <v>0.04</v>
      </c>
      <c r="G158" s="522">
        <f>(G149+H149)*F158</f>
        <v>466020.28</v>
      </c>
      <c r="H158" s="341">
        <f>IF(Data!E76="",Data!E75,Data!E76)</f>
        <v>0.03</v>
      </c>
      <c r="I158" s="522">
        <f>(I149+J149)*H158</f>
        <v>384269.45999999996</v>
      </c>
      <c r="J158" s="300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5"/>
      <c r="CE158" s="155"/>
      <c r="CF158" s="155"/>
      <c r="CG158" s="155"/>
      <c r="CH158" s="155"/>
      <c r="CI158" s="155"/>
      <c r="CJ158" s="155"/>
      <c r="CK158" s="155"/>
      <c r="CL158" s="155"/>
      <c r="CM158" s="155"/>
      <c r="CN158" s="155"/>
      <c r="CO158" s="155"/>
      <c r="CP158" s="155"/>
      <c r="CQ158" s="155"/>
      <c r="CR158" s="155"/>
      <c r="CS158" s="155"/>
      <c r="CT158" s="155"/>
      <c r="CU158" s="155"/>
      <c r="CV158" s="155"/>
      <c r="CW158" s="155"/>
      <c r="CX158" s="155"/>
      <c r="CY158" s="155"/>
      <c r="CZ158" s="155"/>
      <c r="DA158" s="155"/>
      <c r="DB158" s="155"/>
      <c r="DC158" s="155"/>
      <c r="DD158" s="155"/>
      <c r="DE158" s="155"/>
      <c r="DF158" s="155"/>
      <c r="DG158" s="155"/>
      <c r="DH158" s="155"/>
      <c r="DI158" s="155"/>
      <c r="DJ158" s="155"/>
      <c r="DK158" s="155"/>
      <c r="DL158" s="155"/>
      <c r="DM158" s="155"/>
      <c r="DN158" s="155"/>
      <c r="DO158" s="155"/>
      <c r="DP158" s="155"/>
      <c r="DQ158" s="155"/>
      <c r="DR158" s="155"/>
    </row>
    <row r="159" spans="1:122" ht="17" customHeight="1" x14ac:dyDescent="0.3">
      <c r="A159" s="167"/>
      <c r="B159" s="285" t="s">
        <v>143</v>
      </c>
      <c r="C159" s="239"/>
      <c r="D159" s="342"/>
      <c r="E159" s="304" t="str">
        <f>IF(E158&lt;E155, "Met","Not Met")</f>
        <v>Met</v>
      </c>
      <c r="F159" s="213"/>
      <c r="G159" s="304" t="str">
        <f>IF(G158&lt;G155, "Met","Not Met")</f>
        <v>Met</v>
      </c>
      <c r="H159" s="213"/>
      <c r="I159" s="304" t="str">
        <f>IF(I158&lt;I155, "Met","Not Met")</f>
        <v>Met</v>
      </c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5"/>
      <c r="CE159" s="155"/>
      <c r="CF159" s="155"/>
      <c r="CG159" s="155"/>
      <c r="CH159" s="155"/>
      <c r="CI159" s="155"/>
      <c r="CJ159" s="155"/>
      <c r="CK159" s="155"/>
      <c r="CL159" s="155"/>
      <c r="CM159" s="155"/>
      <c r="CN159" s="155"/>
      <c r="CO159" s="155"/>
      <c r="CP159" s="155"/>
      <c r="CQ159" s="155"/>
      <c r="CR159" s="155"/>
      <c r="CS159" s="155"/>
      <c r="CT159" s="155"/>
      <c r="CU159" s="155"/>
      <c r="CV159" s="155"/>
      <c r="CW159" s="155"/>
      <c r="CX159" s="155"/>
      <c r="CY159" s="155"/>
      <c r="CZ159" s="155"/>
      <c r="DA159" s="155"/>
      <c r="DB159" s="155"/>
      <c r="DC159" s="155"/>
      <c r="DD159" s="155"/>
      <c r="DE159" s="155"/>
      <c r="DF159" s="155"/>
      <c r="DG159" s="155"/>
      <c r="DH159" s="155"/>
      <c r="DI159" s="155"/>
      <c r="DJ159" s="155"/>
      <c r="DK159" s="155"/>
      <c r="DL159" s="155"/>
      <c r="DM159" s="155"/>
      <c r="DN159" s="155"/>
      <c r="DO159" s="155"/>
      <c r="DP159" s="155"/>
      <c r="DQ159" s="155"/>
      <c r="DR159" s="155"/>
    </row>
    <row r="160" spans="1:122" s="24" customFormat="1" ht="17" customHeight="1" thickBot="1" x14ac:dyDescent="0.35">
      <c r="A160" s="223"/>
      <c r="B160" s="305"/>
      <c r="C160" s="305"/>
      <c r="D160" s="305"/>
      <c r="E160" s="305"/>
      <c r="F160" s="305"/>
      <c r="G160" s="306"/>
      <c r="H160" s="306"/>
      <c r="I160" s="306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215"/>
      <c r="CO160" s="215"/>
      <c r="CP160" s="215"/>
      <c r="CQ160" s="215"/>
      <c r="CR160" s="215"/>
      <c r="CS160" s="215"/>
      <c r="CT160" s="215"/>
      <c r="CU160" s="215"/>
      <c r="CV160" s="215"/>
      <c r="CW160" s="215"/>
      <c r="CX160" s="215"/>
      <c r="CY160" s="215"/>
      <c r="CZ160" s="215"/>
      <c r="DA160" s="215"/>
      <c r="DB160" s="215"/>
      <c r="DC160" s="215"/>
      <c r="DD160" s="215"/>
      <c r="DE160" s="215"/>
      <c r="DF160" s="215"/>
      <c r="DG160" s="215"/>
      <c r="DH160" s="215"/>
      <c r="DI160" s="215"/>
      <c r="DJ160" s="215"/>
      <c r="DK160" s="215"/>
      <c r="DL160" s="215"/>
      <c r="DM160" s="215"/>
      <c r="DN160" s="215"/>
      <c r="DO160" s="215"/>
      <c r="DP160" s="215"/>
      <c r="DQ160" s="215"/>
      <c r="DR160" s="215"/>
    </row>
    <row r="161" spans="1:122" s="6" customFormat="1" ht="16.5" customHeight="1" thickBot="1" x14ac:dyDescent="0.35">
      <c r="A161" s="307"/>
      <c r="B161" s="582" t="s">
        <v>213</v>
      </c>
      <c r="C161" s="583"/>
      <c r="D161" s="583"/>
      <c r="E161" s="583"/>
      <c r="F161" s="583"/>
      <c r="G161" s="583"/>
      <c r="H161" s="583"/>
      <c r="I161" s="583"/>
      <c r="J161" s="584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  <c r="BQ161" s="175"/>
      <c r="BR161" s="175"/>
      <c r="BS161" s="175"/>
      <c r="BT161" s="175"/>
      <c r="BU161" s="175"/>
      <c r="BV161" s="175"/>
      <c r="BW161" s="175"/>
      <c r="BX161" s="175"/>
      <c r="BY161" s="175"/>
      <c r="BZ161" s="175"/>
      <c r="CA161" s="175"/>
      <c r="CB161" s="175"/>
      <c r="CC161" s="175"/>
      <c r="CD161" s="175"/>
      <c r="CE161" s="175"/>
      <c r="CF161" s="175"/>
      <c r="CG161" s="175"/>
      <c r="CH161" s="175"/>
      <c r="CI161" s="175"/>
      <c r="CJ161" s="175"/>
      <c r="CK161" s="175"/>
      <c r="CL161" s="175"/>
      <c r="CM161" s="175"/>
      <c r="CN161" s="175"/>
      <c r="CO161" s="175"/>
      <c r="CP161" s="175"/>
      <c r="CQ161" s="175"/>
      <c r="CR161" s="175"/>
      <c r="CS161" s="175"/>
      <c r="CT161" s="175"/>
      <c r="CU161" s="175"/>
      <c r="CV161" s="175"/>
      <c r="CW161" s="175"/>
      <c r="CX161" s="175"/>
      <c r="CY161" s="175"/>
      <c r="CZ161" s="175"/>
      <c r="DA161" s="175"/>
      <c r="DB161" s="175"/>
      <c r="DC161" s="175"/>
      <c r="DD161" s="175"/>
      <c r="DE161" s="175"/>
      <c r="DF161" s="175"/>
      <c r="DG161" s="175"/>
      <c r="DH161" s="175"/>
      <c r="DI161" s="175"/>
      <c r="DJ161" s="175"/>
      <c r="DK161" s="175"/>
      <c r="DL161" s="175"/>
      <c r="DM161" s="175"/>
      <c r="DN161" s="175"/>
      <c r="DO161" s="175"/>
      <c r="DP161" s="175"/>
      <c r="DQ161" s="175"/>
      <c r="DR161" s="175"/>
    </row>
    <row r="162" spans="1:122" s="6" customFormat="1" ht="10.5" customHeight="1" x14ac:dyDescent="0.3">
      <c r="A162" s="307"/>
      <c r="B162" s="711"/>
      <c r="C162" s="735"/>
      <c r="D162" s="735"/>
      <c r="E162" s="735"/>
      <c r="F162" s="735"/>
      <c r="G162" s="735"/>
      <c r="H162" s="735"/>
      <c r="I162" s="735"/>
      <c r="J162" s="712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  <c r="BQ162" s="175"/>
      <c r="BR162" s="175"/>
      <c r="BS162" s="175"/>
      <c r="BT162" s="175"/>
      <c r="BU162" s="175"/>
      <c r="BV162" s="175"/>
      <c r="BW162" s="175"/>
      <c r="BX162" s="175"/>
      <c r="BY162" s="175"/>
      <c r="BZ162" s="175"/>
      <c r="CA162" s="175"/>
      <c r="CB162" s="175"/>
      <c r="CC162" s="175"/>
      <c r="CD162" s="175"/>
      <c r="CE162" s="175"/>
      <c r="CF162" s="175"/>
      <c r="CG162" s="175"/>
      <c r="CH162" s="175"/>
      <c r="CI162" s="175"/>
      <c r="CJ162" s="175"/>
      <c r="CK162" s="175"/>
      <c r="CL162" s="175"/>
      <c r="CM162" s="175"/>
      <c r="CN162" s="175"/>
      <c r="CO162" s="175"/>
      <c r="CP162" s="175"/>
      <c r="CQ162" s="175"/>
      <c r="CR162" s="175"/>
      <c r="CS162" s="175"/>
      <c r="CT162" s="175"/>
      <c r="CU162" s="175"/>
      <c r="CV162" s="175"/>
      <c r="CW162" s="175"/>
      <c r="CX162" s="175"/>
      <c r="CY162" s="175"/>
      <c r="CZ162" s="175"/>
      <c r="DA162" s="175"/>
      <c r="DB162" s="175"/>
      <c r="DC162" s="175"/>
      <c r="DD162" s="175"/>
      <c r="DE162" s="175"/>
      <c r="DF162" s="175"/>
      <c r="DG162" s="175"/>
      <c r="DH162" s="175"/>
      <c r="DI162" s="175"/>
      <c r="DJ162" s="175"/>
      <c r="DK162" s="175"/>
      <c r="DL162" s="175"/>
      <c r="DM162" s="175"/>
      <c r="DN162" s="175"/>
      <c r="DO162" s="175"/>
      <c r="DP162" s="175"/>
      <c r="DQ162" s="175"/>
      <c r="DR162" s="175"/>
    </row>
    <row r="163" spans="1:122" s="6" customFormat="1" ht="31.5" customHeight="1" x14ac:dyDescent="0.3">
      <c r="A163" s="307"/>
      <c r="B163" s="682"/>
      <c r="C163" s="696"/>
      <c r="D163" s="696"/>
      <c r="E163" s="696"/>
      <c r="F163" s="696"/>
      <c r="G163" s="696"/>
      <c r="H163" s="696"/>
      <c r="I163" s="696"/>
      <c r="J163" s="697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  <c r="BQ163" s="175"/>
      <c r="BR163" s="175"/>
      <c r="BS163" s="175"/>
      <c r="BT163" s="175"/>
      <c r="BU163" s="175"/>
      <c r="BV163" s="175"/>
      <c r="BW163" s="175"/>
      <c r="BX163" s="175"/>
      <c r="BY163" s="175"/>
      <c r="BZ163" s="175"/>
      <c r="CA163" s="175"/>
      <c r="CB163" s="175"/>
      <c r="CC163" s="175"/>
      <c r="CD163" s="175"/>
      <c r="CE163" s="175"/>
      <c r="CF163" s="175"/>
      <c r="CG163" s="175"/>
      <c r="CH163" s="175"/>
      <c r="CI163" s="175"/>
      <c r="CJ163" s="175"/>
      <c r="CK163" s="175"/>
      <c r="CL163" s="175"/>
      <c r="CM163" s="175"/>
      <c r="CN163" s="175"/>
      <c r="CO163" s="175"/>
      <c r="CP163" s="175"/>
      <c r="CQ163" s="175"/>
      <c r="CR163" s="175"/>
      <c r="CS163" s="175"/>
      <c r="CT163" s="175"/>
      <c r="CU163" s="175"/>
      <c r="CV163" s="175"/>
      <c r="CW163" s="175"/>
      <c r="CX163" s="175"/>
      <c r="CY163" s="175"/>
      <c r="CZ163" s="175"/>
      <c r="DA163" s="175"/>
      <c r="DB163" s="175"/>
      <c r="DC163" s="175"/>
      <c r="DD163" s="175"/>
      <c r="DE163" s="175"/>
      <c r="DF163" s="175"/>
      <c r="DG163" s="175"/>
      <c r="DH163" s="175"/>
      <c r="DI163" s="175"/>
      <c r="DJ163" s="175"/>
      <c r="DK163" s="175"/>
      <c r="DL163" s="175"/>
      <c r="DM163" s="175"/>
      <c r="DN163" s="175"/>
      <c r="DO163" s="175"/>
      <c r="DP163" s="175"/>
      <c r="DQ163" s="175"/>
      <c r="DR163" s="175"/>
    </row>
    <row r="164" spans="1:122" s="4" customFormat="1" ht="16.5" customHeight="1" x14ac:dyDescent="0.3">
      <c r="A164" s="167"/>
      <c r="B164" s="308"/>
      <c r="C164" s="309"/>
      <c r="D164" s="309"/>
      <c r="E164" s="309"/>
      <c r="F164" s="309"/>
      <c r="G164" s="168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</row>
    <row r="165" spans="1:122" s="64" customFormat="1" ht="19.5" customHeight="1" x14ac:dyDescent="0.25">
      <c r="A165" s="281" t="s">
        <v>67</v>
      </c>
      <c r="B165" s="282"/>
      <c r="C165" s="282"/>
      <c r="D165" s="283"/>
      <c r="E165" s="283"/>
      <c r="F165" s="284"/>
      <c r="G165" s="282"/>
      <c r="H165" s="282"/>
      <c r="I165" s="282"/>
      <c r="J165" s="282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  <c r="BA165" s="216"/>
      <c r="BB165" s="216"/>
      <c r="BC165" s="216"/>
      <c r="BD165" s="216"/>
      <c r="BE165" s="216"/>
      <c r="BF165" s="216"/>
      <c r="BG165" s="216"/>
      <c r="BH165" s="216"/>
      <c r="BI165" s="216"/>
      <c r="BJ165" s="216"/>
      <c r="BK165" s="216"/>
      <c r="BL165" s="216"/>
      <c r="BM165" s="216"/>
      <c r="BN165" s="216"/>
      <c r="BO165" s="216"/>
      <c r="BP165" s="216"/>
      <c r="BQ165" s="216"/>
      <c r="BR165" s="216"/>
      <c r="BS165" s="216"/>
      <c r="BT165" s="216"/>
      <c r="BU165" s="216"/>
      <c r="BV165" s="216"/>
      <c r="BW165" s="216"/>
      <c r="BX165" s="216"/>
      <c r="BY165" s="216"/>
      <c r="BZ165" s="216"/>
      <c r="CA165" s="216"/>
      <c r="CB165" s="216"/>
      <c r="CC165" s="216"/>
      <c r="CD165" s="216"/>
      <c r="CE165" s="216"/>
      <c r="CF165" s="216"/>
      <c r="CG165" s="216"/>
      <c r="CH165" s="216"/>
      <c r="CI165" s="216"/>
      <c r="CJ165" s="216"/>
      <c r="CK165" s="216"/>
      <c r="CL165" s="216"/>
      <c r="CM165" s="216"/>
      <c r="CN165" s="216"/>
      <c r="CO165" s="216"/>
      <c r="CP165" s="216"/>
      <c r="CQ165" s="216"/>
      <c r="CR165" s="216"/>
      <c r="CS165" s="216"/>
      <c r="CT165" s="216"/>
      <c r="CU165" s="216"/>
      <c r="CV165" s="216"/>
      <c r="CW165" s="216"/>
      <c r="CX165" s="216"/>
      <c r="CY165" s="216"/>
      <c r="CZ165" s="216"/>
      <c r="DA165" s="216"/>
      <c r="DB165" s="216"/>
      <c r="DC165" s="216"/>
      <c r="DD165" s="216"/>
      <c r="DE165" s="216"/>
      <c r="DF165" s="216"/>
      <c r="DG165" s="216"/>
      <c r="DH165" s="216"/>
      <c r="DI165" s="216"/>
      <c r="DJ165" s="216"/>
      <c r="DK165" s="216"/>
      <c r="DL165" s="216"/>
      <c r="DM165" s="216"/>
      <c r="DN165" s="216"/>
      <c r="DO165" s="216"/>
      <c r="DP165" s="216"/>
      <c r="DQ165" s="216"/>
      <c r="DR165" s="216"/>
    </row>
    <row r="166" spans="1:122" ht="7.5" customHeight="1" x14ac:dyDescent="0.3">
      <c r="A166" s="219"/>
      <c r="B166" s="219"/>
      <c r="C166" s="155"/>
      <c r="D166" s="155"/>
      <c r="E166" s="155"/>
      <c r="F166" s="155"/>
      <c r="G166" s="155"/>
      <c r="H166" s="155"/>
      <c r="I166" s="173"/>
      <c r="J166" s="17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5"/>
      <c r="CE166" s="155"/>
      <c r="CF166" s="155"/>
      <c r="CG166" s="155"/>
      <c r="CH166" s="155"/>
      <c r="CI166" s="155"/>
      <c r="CJ166" s="155"/>
      <c r="CK166" s="155"/>
      <c r="CL166" s="155"/>
      <c r="CM166" s="155"/>
      <c r="CN166" s="155"/>
      <c r="CO166" s="155"/>
      <c r="CP166" s="155"/>
      <c r="CQ166" s="155"/>
      <c r="CR166" s="155"/>
      <c r="CS166" s="155"/>
      <c r="CT166" s="155"/>
      <c r="CU166" s="155"/>
      <c r="CV166" s="155"/>
      <c r="CW166" s="155"/>
      <c r="CX166" s="155"/>
      <c r="CY166" s="155"/>
      <c r="CZ166" s="155"/>
      <c r="DA166" s="155"/>
      <c r="DB166" s="155"/>
      <c r="DC166" s="155"/>
      <c r="DD166" s="155"/>
      <c r="DE166" s="155"/>
      <c r="DF166" s="155"/>
      <c r="DG166" s="155"/>
      <c r="DH166" s="155"/>
      <c r="DI166" s="155"/>
      <c r="DJ166" s="155"/>
      <c r="DK166" s="155"/>
      <c r="DL166" s="155"/>
      <c r="DM166" s="155"/>
      <c r="DN166" s="155"/>
      <c r="DO166" s="155"/>
      <c r="DP166" s="155"/>
      <c r="DQ166" s="155"/>
      <c r="DR166" s="155"/>
    </row>
    <row r="167" spans="1:122" ht="17" customHeight="1" x14ac:dyDescent="0.3">
      <c r="A167" s="219"/>
      <c r="B167" s="310" t="s">
        <v>68</v>
      </c>
      <c r="C167" s="155"/>
      <c r="D167" s="155"/>
      <c r="E167" s="261"/>
      <c r="F167" s="311"/>
      <c r="G167" s="312"/>
      <c r="H167" s="312"/>
      <c r="I167" s="173"/>
      <c r="J167" s="17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5"/>
      <c r="CE167" s="155"/>
      <c r="CF167" s="155"/>
      <c r="CG167" s="155"/>
      <c r="CH167" s="155"/>
      <c r="CI167" s="155"/>
      <c r="CJ167" s="155"/>
      <c r="CK167" s="155"/>
      <c r="CL167" s="155"/>
      <c r="CM167" s="155"/>
      <c r="CN167" s="155"/>
      <c r="CO167" s="155"/>
      <c r="CP167" s="155"/>
      <c r="CQ167" s="155"/>
      <c r="CR167" s="155"/>
      <c r="CS167" s="155"/>
      <c r="CT167" s="155"/>
      <c r="CU167" s="155"/>
      <c r="CV167" s="155"/>
      <c r="CW167" s="155"/>
      <c r="CX167" s="155"/>
      <c r="CY167" s="155"/>
      <c r="CZ167" s="155"/>
      <c r="DA167" s="155"/>
      <c r="DB167" s="155"/>
      <c r="DC167" s="155"/>
      <c r="DD167" s="155"/>
      <c r="DE167" s="155"/>
      <c r="DF167" s="155"/>
      <c r="DG167" s="155"/>
      <c r="DH167" s="155"/>
      <c r="DI167" s="155"/>
      <c r="DJ167" s="155"/>
      <c r="DK167" s="155"/>
      <c r="DL167" s="155"/>
      <c r="DM167" s="155"/>
      <c r="DN167" s="155"/>
      <c r="DO167" s="155"/>
      <c r="DP167" s="155"/>
      <c r="DQ167" s="155"/>
      <c r="DR167" s="155"/>
    </row>
    <row r="168" spans="1:122" ht="17" customHeight="1" x14ac:dyDescent="0.3">
      <c r="A168" s="219"/>
      <c r="B168" s="219"/>
      <c r="C168" s="155"/>
      <c r="D168" s="155"/>
      <c r="E168" s="261"/>
      <c r="F168" s="313" t="str">
        <f>B136</f>
        <v>2021-22</v>
      </c>
      <c r="G168" s="314" t="str">
        <f>B137</f>
        <v>2022-23</v>
      </c>
      <c r="H168" s="314" t="str">
        <f>B138</f>
        <v>2023-24</v>
      </c>
      <c r="I168" s="314" t="str">
        <f>B139</f>
        <v>2024-25</v>
      </c>
      <c r="J168" s="17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5"/>
      <c r="CE168" s="155"/>
      <c r="CF168" s="155"/>
      <c r="CG168" s="155"/>
      <c r="CH168" s="155"/>
      <c r="CI168" s="155"/>
      <c r="CJ168" s="155"/>
      <c r="CK168" s="155"/>
      <c r="CL168" s="155"/>
      <c r="CM168" s="155"/>
      <c r="CN168" s="155"/>
      <c r="CO168" s="155"/>
      <c r="CP168" s="155"/>
      <c r="CQ168" s="155"/>
      <c r="CR168" s="155"/>
      <c r="CS168" s="155"/>
      <c r="CT168" s="155"/>
      <c r="CU168" s="155"/>
      <c r="CV168" s="155"/>
      <c r="CW168" s="155"/>
      <c r="CX168" s="155"/>
      <c r="CY168" s="155"/>
      <c r="CZ168" s="155"/>
      <c r="DA168" s="155"/>
      <c r="DB168" s="155"/>
      <c r="DC168" s="155"/>
      <c r="DD168" s="155"/>
      <c r="DE168" s="155"/>
      <c r="DF168" s="155"/>
      <c r="DG168" s="155"/>
      <c r="DH168" s="155"/>
      <c r="DI168" s="155"/>
      <c r="DJ168" s="155"/>
      <c r="DK168" s="155"/>
      <c r="DL168" s="155"/>
      <c r="DM168" s="155"/>
      <c r="DN168" s="155"/>
      <c r="DO168" s="155"/>
      <c r="DP168" s="155"/>
      <c r="DQ168" s="155"/>
      <c r="DR168" s="155"/>
    </row>
    <row r="169" spans="1:122" ht="17" customHeight="1" x14ac:dyDescent="0.3">
      <c r="A169" s="219"/>
      <c r="B169" s="239"/>
      <c r="C169" s="652" t="s">
        <v>134</v>
      </c>
      <c r="D169" s="652"/>
      <c r="E169" s="652"/>
      <c r="F169" s="360">
        <v>682.03</v>
      </c>
      <c r="G169" s="360">
        <v>870.57</v>
      </c>
      <c r="H169" s="360">
        <v>957.62700000000007</v>
      </c>
      <c r="I169" s="360">
        <v>1053.3897000000002</v>
      </c>
      <c r="J169" s="17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5"/>
      <c r="CE169" s="155"/>
      <c r="CF169" s="155"/>
      <c r="CG169" s="155"/>
      <c r="CH169" s="155"/>
      <c r="CI169" s="155"/>
      <c r="CJ169" s="155"/>
      <c r="CK169" s="155"/>
      <c r="CL169" s="155"/>
      <c r="CM169" s="155"/>
      <c r="CN169" s="155"/>
      <c r="CO169" s="155"/>
      <c r="CP169" s="155"/>
      <c r="CQ169" s="155"/>
      <c r="CR169" s="155"/>
      <c r="CS169" s="155"/>
      <c r="CT169" s="155"/>
      <c r="CU169" s="155"/>
      <c r="CV169" s="155"/>
      <c r="CW169" s="155"/>
      <c r="CX169" s="155"/>
      <c r="CY169" s="155"/>
      <c r="CZ169" s="155"/>
      <c r="DA169" s="155"/>
      <c r="DB169" s="155"/>
      <c r="DC169" s="155"/>
      <c r="DD169" s="155"/>
      <c r="DE169" s="155"/>
      <c r="DF169" s="155"/>
      <c r="DG169" s="155"/>
      <c r="DH169" s="155"/>
      <c r="DI169" s="155"/>
      <c r="DJ169" s="155"/>
      <c r="DK169" s="155"/>
      <c r="DL169" s="155"/>
      <c r="DM169" s="155"/>
      <c r="DN169" s="155"/>
      <c r="DO169" s="155"/>
      <c r="DP169" s="155"/>
      <c r="DQ169" s="155"/>
      <c r="DR169" s="155"/>
    </row>
    <row r="170" spans="1:122" ht="17" customHeight="1" x14ac:dyDescent="0.3">
      <c r="A170" s="219"/>
      <c r="B170" s="239"/>
      <c r="C170" s="315"/>
      <c r="D170" s="315"/>
      <c r="E170" s="315" t="s">
        <v>136</v>
      </c>
      <c r="F170" s="360">
        <v>682.03</v>
      </c>
      <c r="G170" s="360">
        <v>870.57</v>
      </c>
      <c r="H170" s="360">
        <v>957.63</v>
      </c>
      <c r="I170" s="360">
        <v>1053.3900000000001</v>
      </c>
      <c r="J170" s="17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</row>
    <row r="171" spans="1:122" ht="17" customHeight="1" x14ac:dyDescent="0.3">
      <c r="A171" s="219"/>
      <c r="B171" s="239"/>
      <c r="C171" s="652" t="s">
        <v>135</v>
      </c>
      <c r="D171" s="652"/>
      <c r="E171" s="652"/>
      <c r="F171" s="361">
        <v>598</v>
      </c>
      <c r="G171" s="361">
        <v>763.310792780376</v>
      </c>
      <c r="H171" s="361">
        <v>839.64187205841404</v>
      </c>
      <c r="I171" s="361">
        <v>923.60605926425546</v>
      </c>
      <c r="J171" s="17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5"/>
      <c r="CE171" s="155"/>
      <c r="CF171" s="155"/>
      <c r="CG171" s="155"/>
      <c r="CH171" s="155"/>
      <c r="CI171" s="155"/>
      <c r="CJ171" s="155"/>
      <c r="CK171" s="155"/>
      <c r="CL171" s="155"/>
      <c r="CM171" s="155"/>
      <c r="CN171" s="155"/>
      <c r="CO171" s="155"/>
      <c r="CP171" s="155"/>
      <c r="CQ171" s="155"/>
      <c r="CR171" s="155"/>
      <c r="CS171" s="155"/>
      <c r="CT171" s="155"/>
      <c r="CU171" s="155"/>
      <c r="CV171" s="155"/>
      <c r="CW171" s="155"/>
      <c r="CX171" s="155"/>
      <c r="CY171" s="155"/>
      <c r="CZ171" s="155"/>
      <c r="DA171" s="155"/>
      <c r="DB171" s="155"/>
      <c r="DC171" s="155"/>
      <c r="DD171" s="155"/>
      <c r="DE171" s="155"/>
      <c r="DF171" s="155"/>
      <c r="DG171" s="155"/>
      <c r="DH171" s="155"/>
      <c r="DI171" s="155"/>
      <c r="DJ171" s="155"/>
      <c r="DK171" s="155"/>
      <c r="DL171" s="155"/>
      <c r="DM171" s="155"/>
      <c r="DN171" s="155"/>
      <c r="DO171" s="155"/>
      <c r="DP171" s="155"/>
      <c r="DQ171" s="155"/>
      <c r="DR171" s="155"/>
    </row>
    <row r="172" spans="1:122" ht="17" customHeight="1" x14ac:dyDescent="0.3">
      <c r="A172" s="219"/>
      <c r="B172" s="239"/>
      <c r="C172" s="652" t="s">
        <v>138</v>
      </c>
      <c r="D172" s="652"/>
      <c r="E172" s="652"/>
      <c r="F172" s="361">
        <v>286</v>
      </c>
      <c r="G172" s="361">
        <v>365</v>
      </c>
      <c r="H172" s="361">
        <v>402</v>
      </c>
      <c r="I172" s="361">
        <v>442</v>
      </c>
      <c r="J172" s="17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5"/>
      <c r="CE172" s="155"/>
      <c r="CF172" s="155"/>
      <c r="CG172" s="155"/>
      <c r="CH172" s="155"/>
      <c r="CI172" s="155"/>
      <c r="CJ172" s="155"/>
      <c r="CK172" s="155"/>
      <c r="CL172" s="155"/>
      <c r="CM172" s="155"/>
      <c r="CN172" s="155"/>
      <c r="CO172" s="155"/>
      <c r="CP172" s="155"/>
      <c r="CQ172" s="155"/>
      <c r="CR172" s="155"/>
      <c r="CS172" s="155"/>
      <c r="CT172" s="155"/>
      <c r="CU172" s="155"/>
      <c r="CV172" s="155"/>
      <c r="CW172" s="155"/>
      <c r="CX172" s="155"/>
      <c r="CY172" s="155"/>
      <c r="CZ172" s="155"/>
      <c r="DA172" s="155"/>
      <c r="DB172" s="155"/>
      <c r="DC172" s="155"/>
      <c r="DD172" s="155"/>
      <c r="DE172" s="155"/>
      <c r="DF172" s="155"/>
      <c r="DG172" s="155"/>
      <c r="DH172" s="155"/>
      <c r="DI172" s="155"/>
      <c r="DJ172" s="155"/>
      <c r="DK172" s="155"/>
      <c r="DL172" s="155"/>
      <c r="DM172" s="155"/>
      <c r="DN172" s="155"/>
      <c r="DO172" s="155"/>
      <c r="DP172" s="155"/>
      <c r="DQ172" s="155"/>
      <c r="DR172" s="155"/>
    </row>
    <row r="173" spans="1:122" ht="17" customHeight="1" x14ac:dyDescent="0.3">
      <c r="A173" s="219"/>
      <c r="B173" s="652" t="s">
        <v>137</v>
      </c>
      <c r="C173" s="652"/>
      <c r="D173" s="652"/>
      <c r="E173" s="659"/>
      <c r="F173" s="516">
        <v>6929078</v>
      </c>
      <c r="G173" s="516">
        <v>9331831</v>
      </c>
      <c r="H173" s="516">
        <v>10624289</v>
      </c>
      <c r="I173" s="516">
        <v>12112478</v>
      </c>
      <c r="J173" s="17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5"/>
      <c r="CE173" s="155"/>
      <c r="CF173" s="155"/>
      <c r="CG173" s="155"/>
      <c r="CH173" s="155"/>
      <c r="CI173" s="155"/>
      <c r="CJ173" s="155"/>
      <c r="CK173" s="155"/>
      <c r="CL173" s="155"/>
      <c r="CM173" s="155"/>
      <c r="CN173" s="155"/>
      <c r="CO173" s="155"/>
      <c r="CP173" s="155"/>
      <c r="CQ173" s="155"/>
      <c r="CR173" s="155"/>
      <c r="CS173" s="155"/>
      <c r="CT173" s="155"/>
      <c r="CU173" s="155"/>
      <c r="CV173" s="155"/>
      <c r="CW173" s="155"/>
      <c r="CX173" s="155"/>
      <c r="CY173" s="155"/>
      <c r="CZ173" s="155"/>
      <c r="DA173" s="155"/>
      <c r="DB173" s="155"/>
      <c r="DC173" s="155"/>
      <c r="DD173" s="155"/>
      <c r="DE173" s="155"/>
      <c r="DF173" s="155"/>
      <c r="DG173" s="155"/>
      <c r="DH173" s="155"/>
      <c r="DI173" s="155"/>
      <c r="DJ173" s="155"/>
      <c r="DK173" s="155"/>
      <c r="DL173" s="155"/>
      <c r="DM173" s="155"/>
      <c r="DN173" s="155"/>
      <c r="DO173" s="155"/>
      <c r="DP173" s="155"/>
      <c r="DQ173" s="155"/>
      <c r="DR173" s="155"/>
    </row>
    <row r="174" spans="1:122" ht="17" customHeight="1" x14ac:dyDescent="0.3">
      <c r="A174" s="219"/>
      <c r="B174" s="239"/>
      <c r="C174" s="315"/>
      <c r="D174" s="315"/>
      <c r="E174" s="315" t="s">
        <v>69</v>
      </c>
      <c r="F174" s="316"/>
      <c r="G174" s="517">
        <f>Data!C11</f>
        <v>9331831</v>
      </c>
      <c r="H174" s="517">
        <f>Data!D11</f>
        <v>10624289</v>
      </c>
      <c r="I174" s="518">
        <f>Data!E11</f>
        <v>12112478</v>
      </c>
      <c r="J174" s="17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5"/>
      <c r="CE174" s="155"/>
      <c r="CF174" s="155"/>
      <c r="CG174" s="155"/>
      <c r="CH174" s="155"/>
      <c r="CI174" s="155"/>
      <c r="CJ174" s="155"/>
      <c r="CK174" s="155"/>
      <c r="CL174" s="155"/>
      <c r="CM174" s="155"/>
      <c r="CN174" s="155"/>
      <c r="CO174" s="155"/>
      <c r="CP174" s="155"/>
      <c r="CQ174" s="155"/>
      <c r="CR174" s="155"/>
      <c r="CS174" s="155"/>
      <c r="CT174" s="155"/>
      <c r="CU174" s="155"/>
      <c r="CV174" s="155"/>
      <c r="CW174" s="155"/>
      <c r="CX174" s="155"/>
      <c r="CY174" s="155"/>
      <c r="CZ174" s="155"/>
      <c r="DA174" s="155"/>
      <c r="DB174" s="155"/>
      <c r="DC174" s="155"/>
      <c r="DD174" s="155"/>
      <c r="DE174" s="155"/>
      <c r="DF174" s="155"/>
      <c r="DG174" s="155"/>
      <c r="DH174" s="155"/>
      <c r="DI174" s="155"/>
      <c r="DJ174" s="155"/>
      <c r="DK174" s="155"/>
      <c r="DL174" s="155"/>
      <c r="DM174" s="155"/>
      <c r="DN174" s="155"/>
      <c r="DO174" s="155"/>
      <c r="DP174" s="155"/>
      <c r="DQ174" s="155"/>
      <c r="DR174" s="155"/>
    </row>
    <row r="175" spans="1:122" ht="17" customHeight="1" x14ac:dyDescent="0.3">
      <c r="A175" s="219"/>
      <c r="B175" s="239"/>
      <c r="C175" s="315"/>
      <c r="D175" s="315"/>
      <c r="E175" s="413" t="s">
        <v>204</v>
      </c>
      <c r="F175" s="316"/>
      <c r="G175" s="519">
        <f>G174-G173</f>
        <v>0</v>
      </c>
      <c r="H175" s="519">
        <f>H174-H173</f>
        <v>0</v>
      </c>
      <c r="I175" s="519">
        <f>I174-I173</f>
        <v>0</v>
      </c>
      <c r="J175" s="17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5"/>
      <c r="CE175" s="155"/>
      <c r="CF175" s="155"/>
      <c r="CG175" s="155"/>
      <c r="CH175" s="155"/>
      <c r="CI175" s="155"/>
      <c r="CJ175" s="155"/>
      <c r="CK175" s="155"/>
      <c r="CL175" s="155"/>
      <c r="CM175" s="155"/>
      <c r="CN175" s="155"/>
      <c r="CO175" s="155"/>
      <c r="CP175" s="155"/>
      <c r="CQ175" s="155"/>
      <c r="CR175" s="155"/>
      <c r="CS175" s="155"/>
      <c r="CT175" s="155"/>
      <c r="CU175" s="155"/>
      <c r="CV175" s="155"/>
      <c r="CW175" s="155"/>
      <c r="CX175" s="155"/>
      <c r="CY175" s="155"/>
      <c r="CZ175" s="155"/>
      <c r="DA175" s="155"/>
      <c r="DB175" s="155"/>
      <c r="DC175" s="155"/>
      <c r="DD175" s="155"/>
      <c r="DE175" s="155"/>
      <c r="DF175" s="155"/>
      <c r="DG175" s="155"/>
      <c r="DH175" s="155"/>
      <c r="DI175" s="155"/>
      <c r="DJ175" s="155"/>
      <c r="DK175" s="155"/>
      <c r="DL175" s="155"/>
      <c r="DM175" s="155"/>
      <c r="DN175" s="155"/>
      <c r="DO175" s="155"/>
      <c r="DP175" s="155"/>
      <c r="DQ175" s="155"/>
      <c r="DR175" s="155"/>
    </row>
    <row r="176" spans="1:122" ht="17" customHeight="1" x14ac:dyDescent="0.3">
      <c r="A176" s="219"/>
      <c r="B176" s="239"/>
      <c r="C176" s="315"/>
      <c r="D176" s="315"/>
      <c r="E176" s="413" t="s">
        <v>205</v>
      </c>
      <c r="F176" s="316"/>
      <c r="G176" s="504">
        <f>G175/G173</f>
        <v>0</v>
      </c>
      <c r="H176" s="504">
        <f>H175/H173</f>
        <v>0</v>
      </c>
      <c r="I176" s="504">
        <f>I175/I173</f>
        <v>0</v>
      </c>
      <c r="J176" s="17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5"/>
      <c r="CE176" s="155"/>
      <c r="CF176" s="155"/>
      <c r="CG176" s="155"/>
      <c r="CH176" s="155"/>
      <c r="CI176" s="155"/>
      <c r="CJ176" s="155"/>
      <c r="CK176" s="155"/>
      <c r="CL176" s="155"/>
      <c r="CM176" s="155"/>
      <c r="CN176" s="155"/>
      <c r="CO176" s="155"/>
      <c r="CP176" s="155"/>
      <c r="CQ176" s="155"/>
      <c r="CR176" s="155"/>
      <c r="CS176" s="155"/>
      <c r="CT176" s="155"/>
      <c r="CU176" s="155"/>
      <c r="CV176" s="155"/>
      <c r="CW176" s="155"/>
      <c r="CX176" s="155"/>
      <c r="CY176" s="155"/>
      <c r="CZ176" s="155"/>
      <c r="DA176" s="155"/>
      <c r="DB176" s="155"/>
      <c r="DC176" s="155"/>
      <c r="DD176" s="155"/>
      <c r="DE176" s="155"/>
      <c r="DF176" s="155"/>
      <c r="DG176" s="155"/>
      <c r="DH176" s="155"/>
      <c r="DI176" s="155"/>
      <c r="DJ176" s="155"/>
      <c r="DK176" s="155"/>
      <c r="DL176" s="155"/>
      <c r="DM176" s="155"/>
      <c r="DN176" s="155"/>
      <c r="DO176" s="155"/>
      <c r="DP176" s="155"/>
      <c r="DQ176" s="155"/>
      <c r="DR176" s="155"/>
    </row>
    <row r="177" spans="1:122" ht="17" customHeight="1" x14ac:dyDescent="0.3">
      <c r="A177" s="219"/>
      <c r="B177" s="155"/>
      <c r="C177" s="155"/>
      <c r="D177" s="155"/>
      <c r="E177" s="261"/>
      <c r="F177" s="311"/>
      <c r="G177" s="317"/>
      <c r="H177" s="318"/>
      <c r="I177" s="173"/>
      <c r="J177" s="17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5"/>
      <c r="CE177" s="155"/>
      <c r="CF177" s="155"/>
      <c r="CG177" s="155"/>
      <c r="CH177" s="155"/>
      <c r="CI177" s="155"/>
      <c r="CJ177" s="155"/>
      <c r="CK177" s="155"/>
      <c r="CL177" s="155"/>
      <c r="CM177" s="155"/>
      <c r="CN177" s="155"/>
      <c r="CO177" s="155"/>
      <c r="CP177" s="155"/>
      <c r="CQ177" s="155"/>
      <c r="CR177" s="155"/>
      <c r="CS177" s="155"/>
      <c r="CT177" s="155"/>
      <c r="CU177" s="155"/>
      <c r="CV177" s="155"/>
      <c r="CW177" s="155"/>
      <c r="CX177" s="155"/>
      <c r="CY177" s="155"/>
      <c r="CZ177" s="155"/>
      <c r="DA177" s="155"/>
      <c r="DB177" s="155"/>
      <c r="DC177" s="155"/>
      <c r="DD177" s="155"/>
      <c r="DE177" s="155"/>
      <c r="DF177" s="155"/>
      <c r="DG177" s="155"/>
      <c r="DH177" s="155"/>
      <c r="DI177" s="155"/>
      <c r="DJ177" s="155"/>
      <c r="DK177" s="155"/>
      <c r="DL177" s="155"/>
      <c r="DM177" s="155"/>
      <c r="DN177" s="155"/>
      <c r="DO177" s="155"/>
      <c r="DP177" s="155"/>
      <c r="DQ177" s="155"/>
      <c r="DR177" s="155"/>
    </row>
    <row r="178" spans="1:122" ht="17" customHeight="1" x14ac:dyDescent="0.3">
      <c r="A178" s="219"/>
      <c r="B178" s="699" t="s">
        <v>141</v>
      </c>
      <c r="C178" s="699"/>
      <c r="D178" s="699"/>
      <c r="E178" s="699"/>
      <c r="F178" s="700"/>
      <c r="G178" s="319" t="str">
        <f>IF($G$169=$C$50, "Yes","No")</f>
        <v>Yes</v>
      </c>
      <c r="H178" s="319" t="str">
        <f>IF($H$169=$C$51, "Yes","No")</f>
        <v>Yes</v>
      </c>
      <c r="I178" s="319" t="str">
        <f>IF($I$169=$C$52, "Yes","No")</f>
        <v>Yes</v>
      </c>
      <c r="J178" s="17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5"/>
      <c r="CE178" s="155"/>
      <c r="CF178" s="155"/>
      <c r="CG178" s="155"/>
      <c r="CH178" s="155"/>
      <c r="CI178" s="155"/>
      <c r="CJ178" s="155"/>
      <c r="CK178" s="155"/>
      <c r="CL178" s="155"/>
      <c r="CM178" s="155"/>
      <c r="CN178" s="155"/>
      <c r="CO178" s="155"/>
      <c r="CP178" s="155"/>
      <c r="CQ178" s="155"/>
      <c r="CR178" s="155"/>
      <c r="CS178" s="155"/>
      <c r="CT178" s="155"/>
      <c r="CU178" s="155"/>
      <c r="CV178" s="155"/>
      <c r="CW178" s="155"/>
      <c r="CX178" s="155"/>
      <c r="CY178" s="155"/>
      <c r="CZ178" s="155"/>
      <c r="DA178" s="155"/>
      <c r="DB178" s="155"/>
      <c r="DC178" s="155"/>
      <c r="DD178" s="155"/>
      <c r="DE178" s="155"/>
      <c r="DF178" s="155"/>
      <c r="DG178" s="155"/>
      <c r="DH178" s="155"/>
      <c r="DI178" s="155"/>
      <c r="DJ178" s="155"/>
      <c r="DK178" s="155"/>
      <c r="DL178" s="155"/>
      <c r="DM178" s="155"/>
      <c r="DN178" s="155"/>
      <c r="DO178" s="155"/>
      <c r="DP178" s="155"/>
      <c r="DQ178" s="155"/>
      <c r="DR178" s="155"/>
    </row>
    <row r="179" spans="1:122" ht="17" customHeight="1" x14ac:dyDescent="0.3">
      <c r="A179" s="219"/>
      <c r="B179" s="699" t="s">
        <v>142</v>
      </c>
      <c r="C179" s="699"/>
      <c r="D179" s="699"/>
      <c r="E179" s="699"/>
      <c r="F179" s="700"/>
      <c r="G179" s="319" t="str">
        <f>IF($G$171=$F$50, "Yes","No")</f>
        <v>Yes</v>
      </c>
      <c r="H179" s="319" t="str">
        <f>IF($H$171=$F$51, "Yes","No")</f>
        <v>Yes</v>
      </c>
      <c r="I179" s="319" t="str">
        <f>IF($I$171=$F$52, "Yes","No")</f>
        <v>Yes</v>
      </c>
      <c r="J179" s="17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155"/>
      <c r="AZ179" s="155"/>
      <c r="BA179" s="155"/>
      <c r="BB179" s="155"/>
      <c r="BC179" s="155"/>
      <c r="BD179" s="155"/>
      <c r="BE179" s="155"/>
      <c r="BF179" s="155"/>
      <c r="BG179" s="155"/>
      <c r="BH179" s="15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5"/>
      <c r="CE179" s="155"/>
      <c r="CF179" s="155"/>
      <c r="CG179" s="155"/>
      <c r="CH179" s="155"/>
      <c r="CI179" s="155"/>
      <c r="CJ179" s="155"/>
      <c r="CK179" s="155"/>
      <c r="CL179" s="155"/>
      <c r="CM179" s="155"/>
      <c r="CN179" s="155"/>
      <c r="CO179" s="155"/>
      <c r="CP179" s="155"/>
      <c r="CQ179" s="155"/>
      <c r="CR179" s="155"/>
      <c r="CS179" s="155"/>
      <c r="CT179" s="155"/>
      <c r="CU179" s="155"/>
      <c r="CV179" s="155"/>
      <c r="CW179" s="155"/>
      <c r="CX179" s="155"/>
      <c r="CY179" s="155"/>
      <c r="CZ179" s="155"/>
      <c r="DA179" s="155"/>
      <c r="DB179" s="155"/>
      <c r="DC179" s="155"/>
      <c r="DD179" s="155"/>
      <c r="DE179" s="155"/>
      <c r="DF179" s="155"/>
      <c r="DG179" s="155"/>
      <c r="DH179" s="155"/>
      <c r="DI179" s="155"/>
      <c r="DJ179" s="155"/>
      <c r="DK179" s="155"/>
      <c r="DL179" s="155"/>
      <c r="DM179" s="155"/>
      <c r="DN179" s="155"/>
      <c r="DO179" s="155"/>
      <c r="DP179" s="155"/>
      <c r="DQ179" s="155"/>
      <c r="DR179" s="155"/>
    </row>
    <row r="180" spans="1:122" ht="17" customHeight="1" thickBot="1" x14ac:dyDescent="0.35">
      <c r="A180" s="219"/>
      <c r="B180" s="155"/>
      <c r="C180" s="155"/>
      <c r="D180" s="698"/>
      <c r="E180" s="698"/>
      <c r="F180" s="698"/>
      <c r="G180" s="320"/>
      <c r="H180" s="321" t="str">
        <f>IF(G180="yes","Amount?","")</f>
        <v/>
      </c>
      <c r="I180" s="322"/>
      <c r="J180" s="17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</row>
    <row r="181" spans="1:122" ht="17" customHeight="1" thickBot="1" x14ac:dyDescent="0.35">
      <c r="A181" s="219"/>
      <c r="B181" s="155"/>
      <c r="C181" s="582" t="s">
        <v>60</v>
      </c>
      <c r="D181" s="583"/>
      <c r="E181" s="583"/>
      <c r="F181" s="583"/>
      <c r="G181" s="583"/>
      <c r="H181" s="583"/>
      <c r="I181" s="584"/>
      <c r="J181" s="17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</row>
    <row r="182" spans="1:122" ht="33.75" customHeight="1" x14ac:dyDescent="0.3">
      <c r="A182" s="219"/>
      <c r="B182" s="155"/>
      <c r="C182" s="693"/>
      <c r="D182" s="694"/>
      <c r="E182" s="694"/>
      <c r="F182" s="694"/>
      <c r="G182" s="694"/>
      <c r="H182" s="694"/>
      <c r="I182" s="695"/>
      <c r="J182" s="17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</row>
    <row r="183" spans="1:122" ht="17" customHeight="1" x14ac:dyDescent="0.3">
      <c r="A183" s="219"/>
      <c r="B183" s="155"/>
      <c r="C183" s="155"/>
      <c r="D183" s="155"/>
      <c r="E183" s="261"/>
      <c r="F183" s="311"/>
      <c r="G183" s="320"/>
      <c r="H183" s="312"/>
      <c r="I183" s="173"/>
      <c r="J183" s="17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</row>
    <row r="184" spans="1:122" ht="17" customHeight="1" thickBot="1" x14ac:dyDescent="0.35">
      <c r="A184" s="219"/>
      <c r="B184" s="155"/>
      <c r="C184" s="699" t="s">
        <v>140</v>
      </c>
      <c r="D184" s="699"/>
      <c r="E184" s="699"/>
      <c r="F184" s="736"/>
      <c r="G184" s="323" t="str">
        <f>IF($G$175&lt;&gt;0,"No","Yes")</f>
        <v>Yes</v>
      </c>
      <c r="H184" s="323" t="str">
        <f>IF($H$175&lt;&gt;0,"No","Yes")</f>
        <v>Yes</v>
      </c>
      <c r="I184" s="323" t="str">
        <f>IF($I$175&lt;&gt;0,"No","Yes")</f>
        <v>Yes</v>
      </c>
      <c r="J184" s="17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5"/>
      <c r="CE184" s="155"/>
      <c r="CF184" s="155"/>
      <c r="CG184" s="155"/>
      <c r="CH184" s="155"/>
      <c r="CI184" s="155"/>
      <c r="CJ184" s="155"/>
      <c r="CK184" s="155"/>
      <c r="CL184" s="155"/>
      <c r="CM184" s="155"/>
      <c r="CN184" s="155"/>
      <c r="CO184" s="155"/>
      <c r="CP184" s="155"/>
      <c r="CQ184" s="155"/>
      <c r="CR184" s="155"/>
      <c r="CS184" s="155"/>
      <c r="CT184" s="155"/>
      <c r="CU184" s="155"/>
      <c r="CV184" s="155"/>
      <c r="CW184" s="155"/>
      <c r="CX184" s="155"/>
      <c r="CY184" s="155"/>
      <c r="CZ184" s="155"/>
      <c r="DA184" s="155"/>
      <c r="DB184" s="155"/>
      <c r="DC184" s="155"/>
      <c r="DD184" s="155"/>
      <c r="DE184" s="155"/>
      <c r="DF184" s="155"/>
      <c r="DG184" s="155"/>
      <c r="DH184" s="155"/>
      <c r="DI184" s="155"/>
      <c r="DJ184" s="155"/>
      <c r="DK184" s="155"/>
      <c r="DL184" s="155"/>
      <c r="DM184" s="155"/>
      <c r="DN184" s="155"/>
      <c r="DO184" s="155"/>
      <c r="DP184" s="155"/>
      <c r="DQ184" s="155"/>
      <c r="DR184" s="155"/>
    </row>
    <row r="185" spans="1:122" ht="17" customHeight="1" thickBot="1" x14ac:dyDescent="0.35">
      <c r="A185" s="219"/>
      <c r="B185" s="155"/>
      <c r="C185" s="582" t="s">
        <v>60</v>
      </c>
      <c r="D185" s="583"/>
      <c r="E185" s="583"/>
      <c r="F185" s="583"/>
      <c r="G185" s="583"/>
      <c r="H185" s="583"/>
      <c r="I185" s="584"/>
      <c r="J185" s="17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5"/>
      <c r="CE185" s="155"/>
      <c r="CF185" s="155"/>
      <c r="CG185" s="155"/>
      <c r="CH185" s="155"/>
      <c r="CI185" s="155"/>
      <c r="CJ185" s="155"/>
      <c r="CK185" s="155"/>
      <c r="CL185" s="155"/>
      <c r="CM185" s="155"/>
      <c r="CN185" s="155"/>
      <c r="CO185" s="155"/>
      <c r="CP185" s="155"/>
      <c r="CQ185" s="155"/>
      <c r="CR185" s="155"/>
      <c r="CS185" s="155"/>
      <c r="CT185" s="155"/>
      <c r="CU185" s="155"/>
      <c r="CV185" s="155"/>
      <c r="CW185" s="155"/>
      <c r="CX185" s="155"/>
      <c r="CY185" s="155"/>
      <c r="CZ185" s="155"/>
      <c r="DA185" s="155"/>
      <c r="DB185" s="155"/>
      <c r="DC185" s="155"/>
      <c r="DD185" s="155"/>
      <c r="DE185" s="155"/>
      <c r="DF185" s="155"/>
      <c r="DG185" s="155"/>
      <c r="DH185" s="155"/>
      <c r="DI185" s="155"/>
      <c r="DJ185" s="155"/>
      <c r="DK185" s="155"/>
      <c r="DL185" s="155"/>
      <c r="DM185" s="155"/>
      <c r="DN185" s="155"/>
      <c r="DO185" s="155"/>
      <c r="DP185" s="155"/>
      <c r="DQ185" s="155"/>
      <c r="DR185" s="155"/>
    </row>
    <row r="186" spans="1:122" ht="34.5" customHeight="1" x14ac:dyDescent="0.3">
      <c r="A186" s="219"/>
      <c r="B186" s="155"/>
      <c r="C186" s="682"/>
      <c r="D186" s="696"/>
      <c r="E186" s="696"/>
      <c r="F186" s="696"/>
      <c r="G186" s="696"/>
      <c r="H186" s="696"/>
      <c r="I186" s="697"/>
      <c r="J186" s="17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5"/>
      <c r="CE186" s="155"/>
      <c r="CF186" s="155"/>
      <c r="CG186" s="155"/>
      <c r="CH186" s="155"/>
      <c r="CI186" s="155"/>
      <c r="CJ186" s="155"/>
      <c r="CK186" s="155"/>
      <c r="CL186" s="155"/>
      <c r="CM186" s="155"/>
      <c r="CN186" s="155"/>
      <c r="CO186" s="155"/>
      <c r="CP186" s="155"/>
      <c r="CQ186" s="155"/>
      <c r="CR186" s="155"/>
      <c r="CS186" s="155"/>
      <c r="CT186" s="155"/>
      <c r="CU186" s="155"/>
      <c r="CV186" s="155"/>
      <c r="CW186" s="155"/>
      <c r="CX186" s="155"/>
      <c r="CY186" s="155"/>
      <c r="CZ186" s="155"/>
      <c r="DA186" s="155"/>
      <c r="DB186" s="155"/>
      <c r="DC186" s="155"/>
      <c r="DD186" s="155"/>
      <c r="DE186" s="155"/>
      <c r="DF186" s="155"/>
      <c r="DG186" s="155"/>
      <c r="DH186" s="155"/>
      <c r="DI186" s="155"/>
      <c r="DJ186" s="155"/>
      <c r="DK186" s="155"/>
      <c r="DL186" s="155"/>
      <c r="DM186" s="155"/>
      <c r="DN186" s="155"/>
      <c r="DO186" s="155"/>
      <c r="DP186" s="155"/>
      <c r="DQ186" s="155"/>
      <c r="DR186" s="155"/>
    </row>
    <row r="187" spans="1:122" ht="17" customHeight="1" x14ac:dyDescent="0.3">
      <c r="A187" s="219"/>
      <c r="B187" s="155"/>
      <c r="C187" s="324"/>
      <c r="D187" s="324"/>
      <c r="E187" s="324"/>
      <c r="F187" s="324"/>
      <c r="G187" s="324"/>
      <c r="H187" s="324"/>
      <c r="I187" s="324"/>
      <c r="J187" s="17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</row>
    <row r="188" spans="1:122" ht="17" customHeight="1" x14ac:dyDescent="0.3">
      <c r="A188" s="155"/>
      <c r="B188" s="325" t="s">
        <v>177</v>
      </c>
      <c r="C188" s="324"/>
      <c r="D188" s="324"/>
      <c r="E188" s="314" t="str">
        <f>G168</f>
        <v>2022-23</v>
      </c>
      <c r="F188" s="314" t="str">
        <f>H168</f>
        <v>2023-24</v>
      </c>
      <c r="G188" s="314" t="str">
        <f>I168</f>
        <v>2024-25</v>
      </c>
      <c r="H188" s="493"/>
      <c r="I188" s="414"/>
      <c r="J188" s="17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</row>
    <row r="189" spans="1:122" ht="17" customHeight="1" x14ac:dyDescent="0.3">
      <c r="A189" s="219"/>
      <c r="B189" s="239" t="s">
        <v>173</v>
      </c>
      <c r="C189" s="326"/>
      <c r="D189" s="326"/>
      <c r="E189" s="510">
        <v>225808</v>
      </c>
      <c r="F189" s="510">
        <v>247326</v>
      </c>
      <c r="G189" s="510">
        <v>271838</v>
      </c>
      <c r="H189" s="547"/>
      <c r="I189" s="548"/>
      <c r="J189" s="17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</row>
    <row r="190" spans="1:122" ht="17" customHeight="1" x14ac:dyDescent="0.3">
      <c r="A190" s="219"/>
      <c r="B190" s="239" t="s">
        <v>144</v>
      </c>
      <c r="C190" s="326"/>
      <c r="D190" s="326"/>
      <c r="E190" s="511">
        <f>Data!C73</f>
        <v>225808.4466</v>
      </c>
      <c r="F190" s="511">
        <f>Data!D73</f>
        <v>247326.32529000001</v>
      </c>
      <c r="G190" s="511">
        <f>Data!E73</f>
        <v>271837.74598200002</v>
      </c>
      <c r="H190" s="547"/>
      <c r="I190" s="548"/>
      <c r="J190" s="17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</row>
    <row r="191" spans="1:122" ht="17" customHeight="1" x14ac:dyDescent="0.3">
      <c r="A191" s="219"/>
      <c r="B191" s="239"/>
      <c r="C191" s="535" t="s">
        <v>34</v>
      </c>
      <c r="D191" s="326"/>
      <c r="E191" s="533">
        <f>E190-E189</f>
        <v>0.44659999999566935</v>
      </c>
      <c r="F191" s="533">
        <f>F190-F189</f>
        <v>0.32529000000795349</v>
      </c>
      <c r="G191" s="533">
        <f>G190-G189</f>
        <v>-0.25401799997780472</v>
      </c>
      <c r="H191" s="547"/>
      <c r="I191" s="548"/>
      <c r="J191" s="17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5"/>
      <c r="CE191" s="155"/>
      <c r="CF191" s="155"/>
      <c r="CG191" s="155"/>
      <c r="CH191" s="155"/>
      <c r="CI191" s="155"/>
      <c r="CJ191" s="155"/>
      <c r="CK191" s="155"/>
      <c r="CL191" s="155"/>
      <c r="CM191" s="155"/>
      <c r="CN191" s="155"/>
      <c r="CO191" s="155"/>
      <c r="CP191" s="155"/>
      <c r="CQ191" s="155"/>
      <c r="CR191" s="155"/>
      <c r="CS191" s="155"/>
      <c r="CT191" s="155"/>
      <c r="CU191" s="155"/>
      <c r="CV191" s="155"/>
      <c r="CW191" s="155"/>
      <c r="CX191" s="155"/>
      <c r="CY191" s="155"/>
      <c r="CZ191" s="155"/>
      <c r="DA191" s="155"/>
      <c r="DB191" s="155"/>
      <c r="DC191" s="155"/>
      <c r="DD191" s="155"/>
      <c r="DE191" s="155"/>
      <c r="DF191" s="155"/>
      <c r="DG191" s="155"/>
      <c r="DH191" s="155"/>
      <c r="DI191" s="155"/>
      <c r="DJ191" s="155"/>
      <c r="DK191" s="155"/>
      <c r="DL191" s="155"/>
      <c r="DM191" s="155"/>
      <c r="DN191" s="155"/>
      <c r="DO191" s="155"/>
      <c r="DP191" s="155"/>
      <c r="DQ191" s="155"/>
      <c r="DR191" s="155"/>
    </row>
    <row r="192" spans="1:122" ht="17" customHeight="1" x14ac:dyDescent="0.3">
      <c r="A192" s="219"/>
      <c r="B192" s="325" t="s">
        <v>246</v>
      </c>
      <c r="C192" s="535"/>
      <c r="D192" s="326"/>
      <c r="E192" s="534">
        <f>E191/C50</f>
        <v>5.1299723169379757E-4</v>
      </c>
      <c r="F192" s="534">
        <f>F191/C51</f>
        <v>3.3968340492483343E-4</v>
      </c>
      <c r="G192" s="534">
        <f>G191/C52</f>
        <v>-2.4114342486717373E-4</v>
      </c>
      <c r="H192" s="547"/>
      <c r="I192" s="548"/>
      <c r="J192" s="17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5"/>
      <c r="CE192" s="155"/>
      <c r="CF192" s="155"/>
      <c r="CG192" s="155"/>
      <c r="CH192" s="155"/>
      <c r="CI192" s="155"/>
      <c r="CJ192" s="155"/>
      <c r="CK192" s="155"/>
      <c r="CL192" s="155"/>
      <c r="CM192" s="155"/>
      <c r="CN192" s="155"/>
      <c r="CO192" s="155"/>
      <c r="CP192" s="155"/>
      <c r="CQ192" s="155"/>
      <c r="CR192" s="155"/>
      <c r="CS192" s="155"/>
      <c r="CT192" s="155"/>
      <c r="CU192" s="155"/>
      <c r="CV192" s="155"/>
      <c r="CW192" s="155"/>
      <c r="CX192" s="155"/>
      <c r="CY192" s="155"/>
      <c r="CZ192" s="155"/>
      <c r="DA192" s="155"/>
      <c r="DB192" s="155"/>
      <c r="DC192" s="155"/>
      <c r="DD192" s="155"/>
      <c r="DE192" s="155"/>
      <c r="DF192" s="155"/>
      <c r="DG192" s="155"/>
      <c r="DH192" s="155"/>
      <c r="DI192" s="155"/>
      <c r="DJ192" s="155"/>
      <c r="DK192" s="155"/>
      <c r="DL192" s="155"/>
      <c r="DM192" s="155"/>
      <c r="DN192" s="155"/>
      <c r="DO192" s="155"/>
      <c r="DP192" s="155"/>
      <c r="DQ192" s="155"/>
      <c r="DR192" s="155"/>
    </row>
    <row r="193" spans="1:122" ht="17" customHeight="1" thickBot="1" x14ac:dyDescent="0.35">
      <c r="A193" s="219"/>
      <c r="B193" s="239"/>
      <c r="C193" s="326"/>
      <c r="D193" s="326"/>
      <c r="E193" s="326"/>
      <c r="F193" s="326"/>
      <c r="G193" s="326"/>
      <c r="H193" s="326"/>
      <c r="I193" s="326"/>
      <c r="J193" s="17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5"/>
      <c r="CE193" s="155"/>
      <c r="CF193" s="155"/>
      <c r="CG193" s="155"/>
      <c r="CH193" s="155"/>
      <c r="CI193" s="155"/>
      <c r="CJ193" s="155"/>
      <c r="CK193" s="155"/>
      <c r="CL193" s="155"/>
      <c r="CM193" s="155"/>
      <c r="CN193" s="155"/>
      <c r="CO193" s="155"/>
      <c r="CP193" s="155"/>
      <c r="CQ193" s="155"/>
      <c r="CR193" s="155"/>
      <c r="CS193" s="155"/>
      <c r="CT193" s="155"/>
      <c r="CU193" s="155"/>
      <c r="CV193" s="155"/>
      <c r="CW193" s="155"/>
      <c r="CX193" s="155"/>
      <c r="CY193" s="155"/>
      <c r="CZ193" s="155"/>
      <c r="DA193" s="155"/>
      <c r="DB193" s="155"/>
      <c r="DC193" s="155"/>
      <c r="DD193" s="155"/>
      <c r="DE193" s="155"/>
      <c r="DF193" s="155"/>
      <c r="DG193" s="155"/>
      <c r="DH193" s="155"/>
      <c r="DI193" s="155"/>
      <c r="DJ193" s="155"/>
      <c r="DK193" s="155"/>
      <c r="DL193" s="155"/>
      <c r="DM193" s="155"/>
      <c r="DN193" s="155"/>
      <c r="DO193" s="155"/>
      <c r="DP193" s="155"/>
      <c r="DQ193" s="155"/>
      <c r="DR193" s="155"/>
    </row>
    <row r="194" spans="1:122" ht="17" customHeight="1" thickBot="1" x14ac:dyDescent="0.35">
      <c r="A194" s="219"/>
      <c r="B194" s="155"/>
      <c r="C194" s="582" t="s">
        <v>60</v>
      </c>
      <c r="D194" s="583"/>
      <c r="E194" s="583"/>
      <c r="F194" s="583"/>
      <c r="G194" s="583"/>
      <c r="H194" s="583"/>
      <c r="I194" s="584"/>
      <c r="J194" s="17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5"/>
      <c r="CE194" s="155"/>
      <c r="CF194" s="155"/>
      <c r="CG194" s="155"/>
      <c r="CH194" s="155"/>
      <c r="CI194" s="155"/>
      <c r="CJ194" s="155"/>
      <c r="CK194" s="155"/>
      <c r="CL194" s="155"/>
      <c r="CM194" s="155"/>
      <c r="CN194" s="155"/>
      <c r="CO194" s="155"/>
      <c r="CP194" s="155"/>
      <c r="CQ194" s="155"/>
      <c r="CR194" s="155"/>
      <c r="CS194" s="155"/>
      <c r="CT194" s="155"/>
      <c r="CU194" s="155"/>
      <c r="CV194" s="155"/>
      <c r="CW194" s="155"/>
      <c r="CX194" s="155"/>
      <c r="CY194" s="155"/>
      <c r="CZ194" s="155"/>
      <c r="DA194" s="155"/>
      <c r="DB194" s="155"/>
      <c r="DC194" s="155"/>
      <c r="DD194" s="155"/>
      <c r="DE194" s="155"/>
      <c r="DF194" s="155"/>
      <c r="DG194" s="155"/>
      <c r="DH194" s="155"/>
      <c r="DI194" s="155"/>
      <c r="DJ194" s="155"/>
      <c r="DK194" s="155"/>
      <c r="DL194" s="155"/>
      <c r="DM194" s="155"/>
      <c r="DN194" s="155"/>
      <c r="DO194" s="155"/>
      <c r="DP194" s="155"/>
      <c r="DQ194" s="155"/>
      <c r="DR194" s="155"/>
    </row>
    <row r="195" spans="1:122" ht="61.5" customHeight="1" x14ac:dyDescent="0.3">
      <c r="A195" s="219"/>
      <c r="B195" s="155"/>
      <c r="C195" s="693"/>
      <c r="D195" s="694"/>
      <c r="E195" s="694"/>
      <c r="F195" s="694"/>
      <c r="G195" s="694"/>
      <c r="H195" s="694"/>
      <c r="I195" s="695"/>
      <c r="J195" s="17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</row>
    <row r="196" spans="1:122" s="24" customFormat="1" ht="17" customHeight="1" x14ac:dyDescent="0.3">
      <c r="A196" s="328"/>
      <c r="B196" s="215"/>
      <c r="C196" s="324"/>
      <c r="D196" s="324"/>
      <c r="E196" s="324"/>
      <c r="F196" s="324"/>
      <c r="G196" s="324"/>
      <c r="H196" s="324"/>
      <c r="I196" s="324"/>
      <c r="J196" s="329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  <c r="BQ196" s="215"/>
      <c r="BR196" s="215"/>
      <c r="BS196" s="215"/>
      <c r="BT196" s="215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5"/>
      <c r="CQ196" s="215"/>
      <c r="CR196" s="215"/>
      <c r="CS196" s="215"/>
      <c r="CT196" s="215"/>
      <c r="CU196" s="215"/>
      <c r="CV196" s="215"/>
      <c r="CW196" s="215"/>
      <c r="CX196" s="215"/>
      <c r="CY196" s="215"/>
      <c r="CZ196" s="215"/>
      <c r="DA196" s="215"/>
      <c r="DB196" s="215"/>
      <c r="DC196" s="215"/>
      <c r="DD196" s="215"/>
      <c r="DE196" s="215"/>
      <c r="DF196" s="215"/>
      <c r="DG196" s="215"/>
      <c r="DH196" s="215"/>
      <c r="DI196" s="215"/>
      <c r="DJ196" s="215"/>
      <c r="DK196" s="215"/>
      <c r="DL196" s="215"/>
      <c r="DM196" s="215"/>
      <c r="DN196" s="215"/>
      <c r="DO196" s="215"/>
      <c r="DP196" s="215"/>
      <c r="DQ196" s="215"/>
      <c r="DR196" s="215"/>
    </row>
    <row r="197" spans="1:122" ht="17" customHeight="1" x14ac:dyDescent="0.3">
      <c r="A197" s="11"/>
      <c r="B197" s="11" t="s">
        <v>178</v>
      </c>
      <c r="C197" s="141"/>
      <c r="D197" s="141"/>
      <c r="E197" s="141"/>
      <c r="F197" s="141"/>
      <c r="G197" s="141"/>
      <c r="H197" s="141"/>
      <c r="I197" s="141"/>
    </row>
    <row r="198" spans="1:122" ht="17" customHeight="1" x14ac:dyDescent="0.3">
      <c r="A198" s="11"/>
      <c r="C198" s="141"/>
      <c r="D198" s="141"/>
      <c r="E198" s="141"/>
      <c r="F198" s="141"/>
      <c r="G198" s="141"/>
      <c r="H198" s="141"/>
      <c r="I198" s="141"/>
    </row>
    <row r="199" spans="1:122" ht="17" customHeight="1" x14ac:dyDescent="0.3">
      <c r="A199" s="11"/>
      <c r="C199" s="744" t="s">
        <v>76</v>
      </c>
      <c r="D199" s="744"/>
      <c r="E199" s="744"/>
      <c r="F199" s="744"/>
      <c r="G199" s="744"/>
      <c r="H199" s="744"/>
      <c r="I199" s="483">
        <f>Data!C86</f>
        <v>0</v>
      </c>
    </row>
    <row r="200" spans="1:122" ht="17" customHeight="1" x14ac:dyDescent="0.3">
      <c r="A200" s="11"/>
      <c r="C200" s="445"/>
      <c r="D200" s="445"/>
      <c r="E200" s="445"/>
      <c r="F200" s="445"/>
      <c r="G200" s="445"/>
      <c r="H200" s="445"/>
      <c r="I200" s="445"/>
    </row>
    <row r="201" spans="1:122" ht="17" customHeight="1" x14ac:dyDescent="0.3">
      <c r="A201" s="11"/>
      <c r="C201" s="34" t="s">
        <v>174</v>
      </c>
      <c r="D201" s="445"/>
      <c r="E201" s="445"/>
      <c r="F201" s="445"/>
      <c r="G201" s="445"/>
      <c r="H201" s="445"/>
      <c r="I201" s="445"/>
    </row>
    <row r="202" spans="1:122" ht="17" customHeight="1" x14ac:dyDescent="0.3">
      <c r="A202" s="11"/>
      <c r="C202" s="645" t="str">
        <f>T(Data!C88)</f>
        <v/>
      </c>
      <c r="D202" s="646"/>
      <c r="E202" s="646"/>
      <c r="F202" s="646"/>
      <c r="G202" s="647"/>
      <c r="H202" s="445"/>
      <c r="I202" s="484"/>
    </row>
    <row r="203" spans="1:122" ht="17" customHeight="1" x14ac:dyDescent="0.3">
      <c r="A203" s="11"/>
      <c r="C203" s="445"/>
      <c r="D203" s="445"/>
      <c r="E203" s="445"/>
      <c r="F203" s="445"/>
      <c r="G203" s="445"/>
      <c r="H203" s="445"/>
      <c r="I203" s="484"/>
    </row>
    <row r="204" spans="1:122" ht="17" customHeight="1" x14ac:dyDescent="0.3">
      <c r="A204" s="11"/>
      <c r="C204" s="445"/>
      <c r="D204" s="445"/>
      <c r="E204" s="445"/>
      <c r="F204" s="445"/>
      <c r="G204" s="445"/>
      <c r="H204" s="445"/>
      <c r="I204" s="484"/>
    </row>
    <row r="205" spans="1:122" ht="17" customHeight="1" x14ac:dyDescent="0.3">
      <c r="A205" s="11"/>
      <c r="C205" s="445"/>
      <c r="D205" s="445"/>
      <c r="E205" s="538" t="str">
        <f>F244</f>
        <v>2022-23</v>
      </c>
      <c r="F205" s="538" t="str">
        <f>G244</f>
        <v>2023-24</v>
      </c>
      <c r="G205" s="538" t="str">
        <f>H244</f>
        <v>2024-25</v>
      </c>
      <c r="I205" s="445"/>
    </row>
    <row r="206" spans="1:122" ht="17" customHeight="1" x14ac:dyDescent="0.3">
      <c r="A206" s="11"/>
      <c r="C206" s="445" t="s">
        <v>148</v>
      </c>
      <c r="D206" s="445"/>
      <c r="E206" s="485">
        <f>Data!C89</f>
        <v>453401</v>
      </c>
      <c r="F206" s="485">
        <f>Data!D89</f>
        <v>498741.10000000003</v>
      </c>
      <c r="G206" s="485">
        <f>Data!E89</f>
        <v>548615.21000000008</v>
      </c>
      <c r="I206" s="445"/>
    </row>
    <row r="207" spans="1:122" ht="17" customHeight="1" x14ac:dyDescent="0.3">
      <c r="A207" s="11"/>
      <c r="C207" s="34" t="s">
        <v>150</v>
      </c>
      <c r="D207" s="486"/>
      <c r="E207" s="485">
        <f>Data!C90</f>
        <v>0</v>
      </c>
      <c r="F207" s="485">
        <f>Data!D90</f>
        <v>0</v>
      </c>
      <c r="G207" s="485">
        <f>Data!E90</f>
        <v>0</v>
      </c>
      <c r="I207" s="486"/>
    </row>
    <row r="208" spans="1:122" ht="17" customHeight="1" x14ac:dyDescent="0.3">
      <c r="A208" s="11"/>
      <c r="C208" s="34" t="s">
        <v>149</v>
      </c>
      <c r="D208" s="445"/>
      <c r="E208" s="485">
        <f>Data!C91</f>
        <v>0</v>
      </c>
      <c r="F208" s="485">
        <f>Data!D91</f>
        <v>0</v>
      </c>
      <c r="G208" s="485">
        <f>Data!E91</f>
        <v>0</v>
      </c>
      <c r="I208" s="445"/>
    </row>
    <row r="209" spans="1:122" ht="17" customHeight="1" thickBot="1" x14ac:dyDescent="0.35">
      <c r="A209" s="11"/>
      <c r="C209" s="34" t="s">
        <v>151</v>
      </c>
      <c r="D209" s="445"/>
      <c r="E209" s="487">
        <f>Data!C92</f>
        <v>453401</v>
      </c>
      <c r="F209" s="487">
        <f>Data!D92</f>
        <v>498741.10000000003</v>
      </c>
      <c r="G209" s="487">
        <f>Data!E92</f>
        <v>548615.21000000008</v>
      </c>
      <c r="I209" s="445"/>
    </row>
    <row r="210" spans="1:122" ht="17" customHeight="1" thickTop="1" thickBot="1" x14ac:dyDescent="0.35">
      <c r="A210" s="11"/>
      <c r="C210" s="34" t="s">
        <v>152</v>
      </c>
      <c r="D210" s="445"/>
      <c r="E210" s="488">
        <f>Data!C93</f>
        <v>0</v>
      </c>
      <c r="F210" s="488">
        <f>Data!D93</f>
        <v>0</v>
      </c>
      <c r="G210" s="488">
        <f>Data!E93</f>
        <v>0</v>
      </c>
      <c r="I210" s="445"/>
    </row>
    <row r="211" spans="1:122" ht="17" customHeight="1" thickTop="1" thickBot="1" x14ac:dyDescent="0.35">
      <c r="A211" s="11"/>
      <c r="D211" s="141"/>
      <c r="E211" s="141"/>
      <c r="F211" s="141"/>
      <c r="G211" s="141"/>
      <c r="H211" s="141"/>
      <c r="I211" s="141"/>
    </row>
    <row r="212" spans="1:122" ht="17" customHeight="1" thickBot="1" x14ac:dyDescent="0.35">
      <c r="A212" s="11"/>
      <c r="C212" s="721" t="s">
        <v>256</v>
      </c>
      <c r="D212" s="722"/>
      <c r="E212" s="722"/>
      <c r="F212" s="722"/>
      <c r="G212" s="722"/>
      <c r="H212" s="722"/>
      <c r="I212" s="723"/>
    </row>
    <row r="213" spans="1:122" ht="54.75" customHeight="1" x14ac:dyDescent="0.3">
      <c r="A213" s="11"/>
      <c r="C213" s="693"/>
      <c r="D213" s="694"/>
      <c r="E213" s="694"/>
      <c r="F213" s="694"/>
      <c r="G213" s="694"/>
      <c r="H213" s="694"/>
      <c r="I213" s="695"/>
    </row>
    <row r="214" spans="1:122" s="24" customFormat="1" ht="17" customHeight="1" x14ac:dyDescent="0.3">
      <c r="A214" s="328"/>
      <c r="B214" s="343"/>
      <c r="C214" s="324"/>
      <c r="D214" s="324"/>
      <c r="E214" s="324"/>
      <c r="F214" s="324"/>
      <c r="G214" s="324"/>
      <c r="H214" s="324"/>
      <c r="I214" s="324"/>
      <c r="J214" s="329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215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</row>
    <row r="215" spans="1:122" s="24" customFormat="1" ht="17" customHeight="1" x14ac:dyDescent="0.3">
      <c r="A215" s="328"/>
      <c r="B215" s="328" t="s">
        <v>179</v>
      </c>
      <c r="C215" s="324"/>
      <c r="D215" s="324"/>
      <c r="E215" s="324"/>
      <c r="F215" s="324"/>
      <c r="G215" s="324"/>
      <c r="H215" s="324"/>
      <c r="I215" s="324"/>
      <c r="J215" s="329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  <c r="BQ215" s="215"/>
      <c r="BR215" s="215"/>
      <c r="BS215" s="215"/>
      <c r="BT215" s="215"/>
      <c r="BU215" s="215"/>
      <c r="BV215" s="215"/>
      <c r="BW215" s="215"/>
      <c r="BX215" s="215"/>
      <c r="BY215" s="215"/>
      <c r="BZ215" s="215"/>
      <c r="CA215" s="215"/>
      <c r="CB215" s="215"/>
      <c r="CC215" s="215"/>
      <c r="CD215" s="215"/>
      <c r="CE215" s="215"/>
      <c r="CF215" s="215"/>
      <c r="CG215" s="215"/>
      <c r="CH215" s="215"/>
      <c r="CI215" s="215"/>
      <c r="CJ215" s="215"/>
      <c r="CK215" s="215"/>
      <c r="CL215" s="215"/>
      <c r="CM215" s="215"/>
      <c r="CN215" s="215"/>
      <c r="CO215" s="215"/>
      <c r="CP215" s="215"/>
      <c r="CQ215" s="215"/>
      <c r="CR215" s="215"/>
      <c r="CS215" s="215"/>
      <c r="CT215" s="215"/>
      <c r="CU215" s="215"/>
      <c r="CV215" s="215"/>
      <c r="CW215" s="215"/>
      <c r="CX215" s="215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</row>
    <row r="216" spans="1:122" ht="17" customHeight="1" x14ac:dyDescent="0.3">
      <c r="A216" s="219"/>
      <c r="B216" s="344" t="s">
        <v>176</v>
      </c>
      <c r="C216" s="155"/>
      <c r="D216" s="155"/>
      <c r="E216" s="261"/>
      <c r="F216" s="311"/>
      <c r="G216" s="312"/>
      <c r="H216" s="312"/>
      <c r="I216" s="345"/>
      <c r="J216" s="17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</row>
    <row r="217" spans="1:122" ht="17" customHeight="1" x14ac:dyDescent="0.3">
      <c r="A217" s="219"/>
      <c r="B217" s="346"/>
      <c r="C217" s="715" t="s">
        <v>77</v>
      </c>
      <c r="D217" s="715"/>
      <c r="E217" s="715"/>
      <c r="F217" s="715"/>
      <c r="G217" s="715"/>
      <c r="H217" s="715"/>
      <c r="I217" s="643" t="s">
        <v>113</v>
      </c>
      <c r="J217" s="17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</row>
    <row r="218" spans="1:122" ht="17" customHeight="1" x14ac:dyDescent="0.3">
      <c r="A218" s="219"/>
      <c r="B218" s="346"/>
      <c r="C218" s="715"/>
      <c r="D218" s="715"/>
      <c r="E218" s="715"/>
      <c r="F218" s="715"/>
      <c r="G218" s="715"/>
      <c r="H218" s="715"/>
      <c r="I218" s="644"/>
      <c r="J218" s="17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</row>
    <row r="219" spans="1:122" ht="17" customHeight="1" x14ac:dyDescent="0.3">
      <c r="A219" s="219"/>
      <c r="B219" s="346"/>
      <c r="C219" s="347"/>
      <c r="D219" s="347"/>
      <c r="E219" s="347"/>
      <c r="F219" s="347"/>
      <c r="G219" s="347"/>
      <c r="H219" s="347"/>
      <c r="I219" s="348"/>
      <c r="J219" s="17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</row>
    <row r="220" spans="1:122" ht="17" customHeight="1" thickBot="1" x14ac:dyDescent="0.35">
      <c r="A220" s="219"/>
      <c r="B220" s="346"/>
      <c r="C220" s="285" t="s">
        <v>216</v>
      </c>
      <c r="D220" s="347"/>
      <c r="E220" s="347"/>
      <c r="F220" s="347"/>
      <c r="G220" s="347"/>
      <c r="H220" s="347"/>
      <c r="I220" s="220"/>
      <c r="J220" s="17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</row>
    <row r="221" spans="1:122" ht="17" customHeight="1" thickBot="1" x14ac:dyDescent="0.35">
      <c r="A221" s="219"/>
      <c r="B221" s="346"/>
      <c r="C221" s="494" t="s">
        <v>215</v>
      </c>
      <c r="D221" s="505" t="str">
        <f>F168</f>
        <v>2021-22</v>
      </c>
      <c r="E221" s="506" t="str">
        <f>E205</f>
        <v>2022-23</v>
      </c>
      <c r="F221" s="506" t="str">
        <f>F205</f>
        <v>2023-24</v>
      </c>
      <c r="G221" s="507" t="str">
        <f>G205</f>
        <v>2024-25</v>
      </c>
      <c r="H221" s="709" t="s">
        <v>60</v>
      </c>
      <c r="I221" s="710"/>
      <c r="J221" s="17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</row>
    <row r="222" spans="1:122" ht="17" customHeight="1" x14ac:dyDescent="0.3">
      <c r="A222" s="219"/>
      <c r="B222" s="346"/>
      <c r="C222" s="167" t="s">
        <v>154</v>
      </c>
      <c r="D222" s="512">
        <f>Data!B96</f>
        <v>2566945.4181770002</v>
      </c>
      <c r="E222" s="512">
        <f>Data!C96</f>
        <v>3401970.0897570001</v>
      </c>
      <c r="F222" s="512">
        <f>Data!D96</f>
        <v>4144603.5987327001</v>
      </c>
      <c r="G222" s="512">
        <f>Data!E96</f>
        <v>4571059.4586059703</v>
      </c>
      <c r="H222" s="711"/>
      <c r="I222" s="712"/>
      <c r="J222" s="17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</row>
    <row r="223" spans="1:122" ht="17" customHeight="1" x14ac:dyDescent="0.3">
      <c r="A223" s="219"/>
      <c r="B223" s="346"/>
      <c r="C223" s="167" t="s">
        <v>155</v>
      </c>
      <c r="D223" s="512">
        <f>Data!B97</f>
        <v>468102</v>
      </c>
      <c r="E223" s="512">
        <f>Data!C97</f>
        <v>553222</v>
      </c>
      <c r="F223" s="512">
        <f>Data!D97</f>
        <v>608544</v>
      </c>
      <c r="G223" s="512">
        <f>Data!E97</f>
        <v>669399</v>
      </c>
      <c r="H223" s="711"/>
      <c r="I223" s="712"/>
      <c r="J223" s="17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</row>
    <row r="224" spans="1:122" ht="17" customHeight="1" x14ac:dyDescent="0.3">
      <c r="A224" s="219"/>
      <c r="B224" s="346"/>
      <c r="C224" s="167" t="s">
        <v>156</v>
      </c>
      <c r="D224" s="512">
        <f>Data!B98</f>
        <v>741613</v>
      </c>
      <c r="E224" s="512">
        <f>Data!C98</f>
        <v>1151055</v>
      </c>
      <c r="F224" s="512">
        <f>Data!D98</f>
        <v>1374584</v>
      </c>
      <c r="G224" s="512">
        <f>Data!E98</f>
        <v>1514031</v>
      </c>
      <c r="H224" s="711"/>
      <c r="I224" s="712"/>
      <c r="J224" s="17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</row>
    <row r="225" spans="1:122" ht="17" customHeight="1" x14ac:dyDescent="0.3">
      <c r="A225" s="219"/>
      <c r="B225" s="346"/>
      <c r="C225" s="167" t="s">
        <v>157</v>
      </c>
      <c r="D225" s="512">
        <f>Data!B99</f>
        <v>582503</v>
      </c>
      <c r="E225" s="512">
        <f>Data!C99</f>
        <v>751263</v>
      </c>
      <c r="F225" s="512">
        <f>Data!D99</f>
        <v>826389</v>
      </c>
      <c r="G225" s="512">
        <f>Data!E99</f>
        <v>909028</v>
      </c>
      <c r="H225" s="711"/>
      <c r="I225" s="712"/>
      <c r="J225" s="17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</row>
    <row r="226" spans="1:122" ht="17" customHeight="1" x14ac:dyDescent="0.3">
      <c r="A226" s="219"/>
      <c r="B226" s="346"/>
      <c r="C226" s="167" t="s">
        <v>158</v>
      </c>
      <c r="D226" s="512">
        <f>Data!B100</f>
        <v>2391431</v>
      </c>
      <c r="E226" s="512">
        <f>Data!C100</f>
        <v>3356019</v>
      </c>
      <c r="F226" s="512">
        <f>Data!D100</f>
        <v>3709358.6</v>
      </c>
      <c r="G226" s="512">
        <f>Data!E100</f>
        <v>4168294.26</v>
      </c>
      <c r="H226" s="711"/>
      <c r="I226" s="712"/>
      <c r="J226" s="17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</row>
    <row r="227" spans="1:122" ht="17" customHeight="1" x14ac:dyDescent="0.3">
      <c r="A227" s="219"/>
      <c r="B227" s="346"/>
      <c r="C227" s="167" t="s">
        <v>159</v>
      </c>
      <c r="D227" s="512">
        <f>Data!B101</f>
        <v>0</v>
      </c>
      <c r="E227" s="512">
        <f>Data!C101</f>
        <v>0</v>
      </c>
      <c r="F227" s="512">
        <f>Data!D101</f>
        <v>0</v>
      </c>
      <c r="G227" s="512">
        <f>Data!E101</f>
        <v>0</v>
      </c>
      <c r="H227" s="711"/>
      <c r="I227" s="712"/>
      <c r="J227" s="17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</row>
    <row r="228" spans="1:122" ht="17" customHeight="1" x14ac:dyDescent="0.3">
      <c r="A228" s="219"/>
      <c r="B228" s="346"/>
      <c r="C228" s="167" t="s">
        <v>160</v>
      </c>
      <c r="D228" s="512">
        <f>Data!B102</f>
        <v>0</v>
      </c>
      <c r="E228" s="512">
        <f>Data!C102</f>
        <v>0</v>
      </c>
      <c r="F228" s="512">
        <f>Data!D102</f>
        <v>0</v>
      </c>
      <c r="G228" s="512">
        <f>Data!E102</f>
        <v>0</v>
      </c>
      <c r="H228" s="711"/>
      <c r="I228" s="712"/>
      <c r="J228" s="17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</row>
    <row r="229" spans="1:122" ht="17" customHeight="1" x14ac:dyDescent="0.3">
      <c r="A229" s="219"/>
      <c r="B229" s="346"/>
      <c r="C229" s="167" t="s">
        <v>214</v>
      </c>
      <c r="D229" s="512">
        <f>Data!B103</f>
        <v>35093.949999999997</v>
      </c>
      <c r="E229" s="512">
        <f>Data!C103</f>
        <v>86248</v>
      </c>
      <c r="F229" s="512">
        <f>Data!D103</f>
        <v>86248</v>
      </c>
      <c r="G229" s="512">
        <f>Data!E103</f>
        <v>0</v>
      </c>
      <c r="H229" s="711"/>
      <c r="I229" s="712"/>
      <c r="J229" s="17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</row>
    <row r="230" spans="1:122" ht="15.5" thickBot="1" x14ac:dyDescent="0.35">
      <c r="A230" s="219"/>
      <c r="B230" s="346"/>
      <c r="C230" s="167" t="s">
        <v>161</v>
      </c>
      <c r="D230" s="513">
        <f>Data!B104</f>
        <v>6785688.3681770004</v>
      </c>
      <c r="E230" s="513">
        <f>Data!C104</f>
        <v>9299777.0897569992</v>
      </c>
      <c r="F230" s="513">
        <f>Data!D104</f>
        <v>10749727.1987327</v>
      </c>
      <c r="G230" s="513">
        <f>Data!E104</f>
        <v>11831811.718605969</v>
      </c>
      <c r="H230" s="682"/>
      <c r="I230" s="697"/>
      <c r="J230" s="17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</row>
    <row r="231" spans="1:122" ht="15.5" thickTop="1" x14ac:dyDescent="0.3">
      <c r="A231" s="219"/>
      <c r="B231" s="346"/>
      <c r="C231" s="167"/>
      <c r="D231" s="508"/>
      <c r="E231" s="508"/>
      <c r="F231" s="508"/>
      <c r="G231" s="508"/>
      <c r="H231" s="349"/>
      <c r="I231" s="349"/>
      <c r="J231" s="17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</row>
    <row r="232" spans="1:122" ht="17" customHeight="1" thickBot="1" x14ac:dyDescent="0.35">
      <c r="A232" s="219"/>
      <c r="B232" s="346"/>
      <c r="C232" s="285" t="s">
        <v>216</v>
      </c>
      <c r="D232" s="509"/>
      <c r="E232" s="509"/>
      <c r="F232" s="509"/>
      <c r="G232" s="509"/>
      <c r="H232" s="347"/>
      <c r="I232" s="220"/>
      <c r="J232" s="17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</row>
    <row r="233" spans="1:122" ht="17" customHeight="1" thickBot="1" x14ac:dyDescent="0.35">
      <c r="A233" s="219"/>
      <c r="B233" s="346"/>
      <c r="C233" s="494" t="s">
        <v>217</v>
      </c>
      <c r="D233" s="505" t="str">
        <f>D221</f>
        <v>2021-22</v>
      </c>
      <c r="E233" s="506" t="str">
        <f>E205</f>
        <v>2022-23</v>
      </c>
      <c r="F233" s="506" t="str">
        <f>F205</f>
        <v>2023-24</v>
      </c>
      <c r="G233" s="507" t="str">
        <f>G205</f>
        <v>2024-25</v>
      </c>
      <c r="H233" s="709" t="s">
        <v>60</v>
      </c>
      <c r="I233" s="710"/>
      <c r="J233" s="17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</row>
    <row r="234" spans="1:122" ht="17" customHeight="1" x14ac:dyDescent="0.3">
      <c r="A234" s="219"/>
      <c r="B234" s="346"/>
      <c r="C234" s="167" t="s">
        <v>154</v>
      </c>
      <c r="D234" s="490">
        <f>Data!B96/Data!B$104</f>
        <v>0.37828813804878864</v>
      </c>
      <c r="E234" s="490">
        <f>Data!C96/Data!C$104</f>
        <v>0.36581200354834448</v>
      </c>
      <c r="F234" s="490">
        <f>Data!D96/Data!D$104</f>
        <v>0.38555430497076365</v>
      </c>
      <c r="G234" s="490">
        <f>Data!E96/Data!E$104</f>
        <v>0.38633639271133829</v>
      </c>
      <c r="H234" s="711"/>
      <c r="I234" s="712"/>
      <c r="J234" s="17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</row>
    <row r="235" spans="1:122" ht="17" customHeight="1" x14ac:dyDescent="0.3">
      <c r="A235" s="219"/>
      <c r="B235" s="346"/>
      <c r="C235" s="167" t="s">
        <v>155</v>
      </c>
      <c r="D235" s="490">
        <f>Data!B97/Data!B$104</f>
        <v>6.8983716109815588E-2</v>
      </c>
      <c r="E235" s="490">
        <f>Data!C97/Data!C$104</f>
        <v>5.948766240960035E-2</v>
      </c>
      <c r="F235" s="490">
        <f>Data!D97/Data!D$104</f>
        <v>5.6610180774796043E-2</v>
      </c>
      <c r="G235" s="490">
        <f>Data!E97/Data!E$104</f>
        <v>5.6576204550934907E-2</v>
      </c>
      <c r="H235" s="711"/>
      <c r="I235" s="712"/>
      <c r="J235" s="17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</row>
    <row r="236" spans="1:122" ht="17" customHeight="1" x14ac:dyDescent="0.3">
      <c r="A236" s="219"/>
      <c r="B236" s="346"/>
      <c r="C236" s="167" t="s">
        <v>156</v>
      </c>
      <c r="D236" s="490">
        <f>Data!B98/Data!B$104</f>
        <v>0.10929075427011349</v>
      </c>
      <c r="E236" s="490">
        <f>Data!C98/Data!C$104</f>
        <v>0.12377232151809316</v>
      </c>
      <c r="F236" s="490">
        <f>Data!D98/Data!D$104</f>
        <v>0.12787152404779645</v>
      </c>
      <c r="G236" s="490">
        <f>Data!E98/Data!E$104</f>
        <v>0.12796273605496353</v>
      </c>
      <c r="H236" s="711"/>
      <c r="I236" s="712"/>
      <c r="J236" s="17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</row>
    <row r="237" spans="1:122" ht="17" customHeight="1" x14ac:dyDescent="0.3">
      <c r="A237" s="219"/>
      <c r="B237" s="346"/>
      <c r="C237" s="167" t="s">
        <v>157</v>
      </c>
      <c r="D237" s="490">
        <f>Data!B99/Data!B$104</f>
        <v>8.5842875238977642E-2</v>
      </c>
      <c r="E237" s="490">
        <f>Data!C99/Data!C$104</f>
        <v>8.0782904014705836E-2</v>
      </c>
      <c r="F237" s="490">
        <f>Data!D99/Data!D$104</f>
        <v>7.6875346203894745E-2</v>
      </c>
      <c r="G237" s="490">
        <f>Data!E99/Data!E$104</f>
        <v>7.6829146847436663E-2</v>
      </c>
      <c r="H237" s="711"/>
      <c r="I237" s="712"/>
      <c r="J237" s="17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</row>
    <row r="238" spans="1:122" ht="17" customHeight="1" x14ac:dyDescent="0.3">
      <c r="A238" s="219"/>
      <c r="B238" s="346"/>
      <c r="C238" s="167" t="s">
        <v>158</v>
      </c>
      <c r="D238" s="490">
        <f>Data!B100/Data!B$104</f>
        <v>0.35242275657914812</v>
      </c>
      <c r="E238" s="490">
        <f>Data!C100/Data!C$104</f>
        <v>0.36087090772276692</v>
      </c>
      <c r="F238" s="490">
        <f>Data!D100/Data!D$104</f>
        <v>0.34506537062980552</v>
      </c>
      <c r="G238" s="490">
        <f>Data!E100/Data!E$104</f>
        <v>0.3522955198353267</v>
      </c>
      <c r="H238" s="711"/>
      <c r="I238" s="712"/>
      <c r="J238" s="17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</row>
    <row r="239" spans="1:122" ht="17" customHeight="1" x14ac:dyDescent="0.3">
      <c r="A239" s="219"/>
      <c r="B239" s="346"/>
      <c r="C239" s="167" t="s">
        <v>159</v>
      </c>
      <c r="D239" s="490">
        <f>Data!B101/Data!B$104</f>
        <v>0</v>
      </c>
      <c r="E239" s="490">
        <f>Data!C101/Data!C$104</f>
        <v>0</v>
      </c>
      <c r="F239" s="490">
        <f>Data!D101/Data!D$104</f>
        <v>0</v>
      </c>
      <c r="G239" s="490">
        <f>Data!E101/Data!E$104</f>
        <v>0</v>
      </c>
      <c r="H239" s="711"/>
      <c r="I239" s="712"/>
      <c r="J239" s="17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</row>
    <row r="240" spans="1:122" ht="17" customHeight="1" x14ac:dyDescent="0.3">
      <c r="A240" s="219"/>
      <c r="B240" s="346"/>
      <c r="C240" s="167" t="s">
        <v>160</v>
      </c>
      <c r="D240" s="490">
        <f>Data!B102/Data!B$104</f>
        <v>0</v>
      </c>
      <c r="E240" s="490">
        <f>Data!C102/Data!C$104</f>
        <v>0</v>
      </c>
      <c r="F240" s="490">
        <f>Data!D102/Data!D$104</f>
        <v>0</v>
      </c>
      <c r="G240" s="490">
        <f>Data!E102/Data!E$104</f>
        <v>0</v>
      </c>
      <c r="H240" s="711"/>
      <c r="I240" s="712"/>
      <c r="J240" s="17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</row>
    <row r="241" spans="1:122" ht="17" customHeight="1" x14ac:dyDescent="0.3">
      <c r="A241" s="219"/>
      <c r="B241" s="346"/>
      <c r="C241" s="167" t="s">
        <v>214</v>
      </c>
      <c r="D241" s="490">
        <f>Data!B103/Data!B$104</f>
        <v>5.171759753156497E-3</v>
      </c>
      <c r="E241" s="490">
        <f>Data!C103/Data!C$104</f>
        <v>9.2742007864893491E-3</v>
      </c>
      <c r="F241" s="490">
        <f>Data!D103/Data!D$104</f>
        <v>8.02327337294363E-3</v>
      </c>
      <c r="G241" s="490">
        <f>Data!E103/Data!E$104</f>
        <v>0</v>
      </c>
      <c r="H241" s="711"/>
      <c r="I241" s="712"/>
      <c r="J241" s="17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</row>
    <row r="242" spans="1:122" ht="15.5" thickBot="1" x14ac:dyDescent="0.35">
      <c r="A242" s="219"/>
      <c r="B242" s="346"/>
      <c r="C242" s="167" t="s">
        <v>161</v>
      </c>
      <c r="D242" s="491">
        <f>SUM(D234:D241)</f>
        <v>1</v>
      </c>
      <c r="E242" s="491">
        <f t="shared" ref="E242:G242" si="14">SUM(E234:E241)</f>
        <v>1.0000000000000002</v>
      </c>
      <c r="F242" s="491">
        <f t="shared" si="14"/>
        <v>0.99999999999999989</v>
      </c>
      <c r="G242" s="491">
        <f t="shared" si="14"/>
        <v>1</v>
      </c>
      <c r="H242" s="682"/>
      <c r="I242" s="697"/>
      <c r="J242" s="17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</row>
    <row r="243" spans="1:122" ht="17" customHeight="1" thickTop="1" x14ac:dyDescent="0.3">
      <c r="A243" s="219"/>
      <c r="B243" s="346"/>
      <c r="C243" s="155"/>
      <c r="D243" s="155"/>
      <c r="E243" s="261"/>
      <c r="F243" s="311"/>
      <c r="G243" s="312"/>
      <c r="H243" s="312"/>
      <c r="I243" s="173"/>
      <c r="J243" s="17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</row>
    <row r="244" spans="1:122" ht="17" customHeight="1" x14ac:dyDescent="0.3">
      <c r="A244" s="219"/>
      <c r="B244" s="328" t="s">
        <v>75</v>
      </c>
      <c r="C244" s="324"/>
      <c r="D244" s="155"/>
      <c r="E244" s="350" t="s">
        <v>70</v>
      </c>
      <c r="F244" s="351" t="str">
        <f>E146</f>
        <v>2022-23</v>
      </c>
      <c r="G244" s="351" t="str">
        <f>H168</f>
        <v>2023-24</v>
      </c>
      <c r="H244" s="351" t="str">
        <f>I168</f>
        <v>2024-25</v>
      </c>
      <c r="I244" s="312"/>
      <c r="J244" s="17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</row>
    <row r="245" spans="1:122" ht="17" customHeight="1" x14ac:dyDescent="0.3">
      <c r="A245" s="219"/>
      <c r="B245" s="155"/>
      <c r="C245" s="324"/>
      <c r="D245" s="155"/>
      <c r="E245" s="412" t="s">
        <v>139</v>
      </c>
      <c r="F245" s="352">
        <f>E151</f>
        <v>1743609.4554446004</v>
      </c>
      <c r="G245" s="352">
        <f>G151</f>
        <v>1803062.4614283592</v>
      </c>
      <c r="H245" s="352">
        <f>I151</f>
        <v>2287109.068010496</v>
      </c>
      <c r="I245" s="353"/>
      <c r="J245" s="17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</row>
    <row r="246" spans="1:122" ht="17" customHeight="1" x14ac:dyDescent="0.3">
      <c r="A246" s="219"/>
      <c r="B246" s="155"/>
      <c r="C246" s="324"/>
      <c r="D246" s="155"/>
      <c r="E246" s="412" t="s">
        <v>71</v>
      </c>
      <c r="F246" s="354">
        <f>E156</f>
        <v>0.1648</v>
      </c>
      <c r="G246" s="354">
        <f>G156</f>
        <v>0.15476257483286857</v>
      </c>
      <c r="H246" s="354">
        <f>I156</f>
        <v>0.17855510047640757</v>
      </c>
      <c r="I246" s="354"/>
      <c r="J246" s="17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</row>
    <row r="247" spans="1:122" ht="17" customHeight="1" x14ac:dyDescent="0.3">
      <c r="A247" s="219"/>
      <c r="B247" s="155"/>
      <c r="C247" s="155"/>
      <c r="D247" s="155"/>
      <c r="E247" s="261"/>
      <c r="F247" s="311"/>
      <c r="G247" s="320"/>
      <c r="H247" s="312"/>
      <c r="I247" s="173"/>
      <c r="J247" s="17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</row>
    <row r="248" spans="1:122" s="13" customFormat="1" ht="17" customHeight="1" x14ac:dyDescent="0.25">
      <c r="A248" s="325"/>
      <c r="B248" s="239"/>
      <c r="C248" s="652" t="s">
        <v>72</v>
      </c>
      <c r="D248" s="652"/>
      <c r="E248" s="652"/>
      <c r="F248" s="653"/>
      <c r="G248" s="489" t="s">
        <v>115</v>
      </c>
      <c r="H248" s="411"/>
      <c r="I248" s="239"/>
      <c r="J248" s="244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  <c r="BV248" s="239"/>
      <c r="BW248" s="239"/>
      <c r="BX248" s="239"/>
      <c r="BY248" s="239"/>
      <c r="BZ248" s="239"/>
      <c r="CA248" s="239"/>
      <c r="CB248" s="239"/>
      <c r="CC248" s="239"/>
      <c r="CD248" s="239"/>
      <c r="CE248" s="239"/>
      <c r="CF248" s="239"/>
      <c r="CG248" s="239"/>
      <c r="CH248" s="239"/>
      <c r="CI248" s="239"/>
      <c r="CJ248" s="239"/>
      <c r="CK248" s="239"/>
      <c r="CL248" s="239"/>
      <c r="CM248" s="239"/>
      <c r="CN248" s="239"/>
      <c r="CO248" s="239"/>
      <c r="CP248" s="239"/>
      <c r="CQ248" s="239"/>
      <c r="CR248" s="239"/>
      <c r="CS248" s="239"/>
      <c r="CT248" s="239"/>
      <c r="CU248" s="239"/>
      <c r="CV248" s="239"/>
      <c r="CW248" s="239"/>
      <c r="CX248" s="239"/>
      <c r="CY248" s="239"/>
      <c r="CZ248" s="239"/>
      <c r="DA248" s="239"/>
      <c r="DB248" s="239"/>
      <c r="DC248" s="239"/>
      <c r="DD248" s="239"/>
      <c r="DE248" s="239"/>
      <c r="DF248" s="239"/>
      <c r="DG248" s="239"/>
      <c r="DH248" s="239"/>
      <c r="DI248" s="239"/>
      <c r="DJ248" s="239"/>
      <c r="DK248" s="239"/>
      <c r="DL248" s="239"/>
      <c r="DM248" s="239"/>
      <c r="DN248" s="239"/>
      <c r="DO248" s="239"/>
      <c r="DP248" s="239"/>
      <c r="DQ248" s="239"/>
      <c r="DR248" s="239"/>
    </row>
    <row r="249" spans="1:122" s="13" customFormat="1" ht="17" customHeight="1" x14ac:dyDescent="0.25">
      <c r="A249" s="325"/>
      <c r="B249" s="239"/>
      <c r="C249" s="652" t="s">
        <v>73</v>
      </c>
      <c r="D249" s="652"/>
      <c r="E249" s="652"/>
      <c r="F249" s="652"/>
      <c r="G249" s="489" t="s">
        <v>356</v>
      </c>
      <c r="H249" s="411"/>
      <c r="I249" s="239"/>
      <c r="J249" s="244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  <c r="BV249" s="239"/>
      <c r="BW249" s="239"/>
      <c r="BX249" s="239"/>
      <c r="BY249" s="239"/>
      <c r="BZ249" s="239"/>
      <c r="CA249" s="239"/>
      <c r="CB249" s="239"/>
      <c r="CC249" s="239"/>
      <c r="CD249" s="239"/>
      <c r="CE249" s="239"/>
      <c r="CF249" s="239"/>
      <c r="CG249" s="239"/>
      <c r="CH249" s="239"/>
      <c r="CI249" s="239"/>
      <c r="CJ249" s="239"/>
      <c r="CK249" s="239"/>
      <c r="CL249" s="239"/>
      <c r="CM249" s="239"/>
      <c r="CN249" s="239"/>
      <c r="CO249" s="239"/>
      <c r="CP249" s="239"/>
      <c r="CQ249" s="239"/>
      <c r="CR249" s="239"/>
      <c r="CS249" s="239"/>
      <c r="CT249" s="239"/>
      <c r="CU249" s="239"/>
      <c r="CV249" s="239"/>
      <c r="CW249" s="239"/>
      <c r="CX249" s="239"/>
      <c r="CY249" s="239"/>
      <c r="CZ249" s="239"/>
      <c r="DA249" s="239"/>
      <c r="DB249" s="239"/>
      <c r="DC249" s="239"/>
      <c r="DD249" s="239"/>
      <c r="DE249" s="239"/>
      <c r="DF249" s="239"/>
      <c r="DG249" s="239"/>
      <c r="DH249" s="239"/>
      <c r="DI249" s="239"/>
      <c r="DJ249" s="239"/>
      <c r="DK249" s="239"/>
      <c r="DL249" s="239"/>
      <c r="DM249" s="239"/>
      <c r="DN249" s="239"/>
      <c r="DO249" s="239"/>
      <c r="DP249" s="239"/>
      <c r="DQ249" s="239"/>
      <c r="DR249" s="239"/>
    </row>
    <row r="250" spans="1:122" s="13" customFormat="1" ht="17" customHeight="1" x14ac:dyDescent="0.25">
      <c r="A250" s="325"/>
      <c r="B250" s="239"/>
      <c r="C250" s="652" t="s">
        <v>74</v>
      </c>
      <c r="D250" s="652"/>
      <c r="E250" s="652"/>
      <c r="F250" s="652"/>
      <c r="G250" s="489" t="s">
        <v>356</v>
      </c>
      <c r="H250" s="411"/>
      <c r="I250" s="239"/>
      <c r="J250" s="244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  <c r="BV250" s="239"/>
      <c r="BW250" s="239"/>
      <c r="BX250" s="239"/>
      <c r="BY250" s="239"/>
      <c r="BZ250" s="239"/>
      <c r="CA250" s="239"/>
      <c r="CB250" s="239"/>
      <c r="CC250" s="239"/>
      <c r="CD250" s="239"/>
      <c r="CE250" s="239"/>
      <c r="CF250" s="239"/>
      <c r="CG250" s="239"/>
      <c r="CH250" s="239"/>
      <c r="CI250" s="239"/>
      <c r="CJ250" s="239"/>
      <c r="CK250" s="239"/>
      <c r="CL250" s="239"/>
      <c r="CM250" s="239"/>
      <c r="CN250" s="239"/>
      <c r="CO250" s="239"/>
      <c r="CP250" s="239"/>
      <c r="CQ250" s="239"/>
      <c r="CR250" s="239"/>
      <c r="CS250" s="239"/>
      <c r="CT250" s="239"/>
      <c r="CU250" s="239"/>
      <c r="CV250" s="239"/>
      <c r="CW250" s="239"/>
      <c r="CX250" s="239"/>
      <c r="CY250" s="239"/>
      <c r="CZ250" s="239"/>
      <c r="DA250" s="239"/>
      <c r="DB250" s="239"/>
      <c r="DC250" s="239"/>
      <c r="DD250" s="239"/>
      <c r="DE250" s="239"/>
      <c r="DF250" s="239"/>
      <c r="DG250" s="239"/>
      <c r="DH250" s="239"/>
      <c r="DI250" s="239"/>
      <c r="DJ250" s="239"/>
      <c r="DK250" s="239"/>
      <c r="DL250" s="239"/>
      <c r="DM250" s="239"/>
      <c r="DN250" s="239"/>
      <c r="DO250" s="239"/>
      <c r="DP250" s="239"/>
      <c r="DQ250" s="239"/>
      <c r="DR250" s="239"/>
    </row>
    <row r="251" spans="1:122" ht="17" customHeight="1" x14ac:dyDescent="0.3">
      <c r="A251" s="219"/>
      <c r="B251" s="155"/>
      <c r="C251" s="155"/>
      <c r="D251" s="155"/>
      <c r="E251" s="261"/>
      <c r="F251" s="311"/>
      <c r="G251" s="312"/>
      <c r="H251" s="312"/>
      <c r="I251" s="220"/>
      <c r="J251" s="17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</row>
    <row r="252" spans="1:122" ht="17" customHeight="1" x14ac:dyDescent="0.3">
      <c r="A252" s="219"/>
      <c r="B252" s="155"/>
      <c r="C252" s="155"/>
      <c r="D252" s="641" t="str">
        <f>G168</f>
        <v>2022-23</v>
      </c>
      <c r="E252" s="641"/>
      <c r="F252" s="641" t="str">
        <f>G146</f>
        <v>2023-24</v>
      </c>
      <c r="G252" s="641"/>
      <c r="H252" s="640" t="str">
        <f>I168</f>
        <v>2024-25</v>
      </c>
      <c r="I252" s="640"/>
      <c r="J252" s="17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</row>
    <row r="253" spans="1:122" ht="17" customHeight="1" x14ac:dyDescent="0.3">
      <c r="A253" s="219"/>
      <c r="B253" s="155"/>
      <c r="C253" s="155"/>
      <c r="D253" s="355" t="s">
        <v>62</v>
      </c>
      <c r="E253" s="355" t="s">
        <v>63</v>
      </c>
      <c r="F253" s="355" t="s">
        <v>62</v>
      </c>
      <c r="G253" s="355" t="s">
        <v>63</v>
      </c>
      <c r="H253" s="355" t="s">
        <v>62</v>
      </c>
      <c r="I253" s="355" t="s">
        <v>63</v>
      </c>
      <c r="J253" s="17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</row>
    <row r="254" spans="1:122" ht="17" customHeight="1" x14ac:dyDescent="0.3">
      <c r="A254" s="219"/>
      <c r="B254" s="155"/>
      <c r="C254" s="356" t="s">
        <v>75</v>
      </c>
      <c r="D254" s="514"/>
      <c r="E254" s="514"/>
      <c r="F254" s="514"/>
      <c r="G254" s="514"/>
      <c r="H254" s="515"/>
      <c r="I254" s="515"/>
      <c r="J254" s="17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</row>
    <row r="255" spans="1:122" s="24" customFormat="1" ht="17" customHeight="1" x14ac:dyDescent="0.3">
      <c r="A255" s="328"/>
      <c r="B255" s="215"/>
      <c r="C255" s="357"/>
      <c r="D255" s="358"/>
      <c r="E255" s="358"/>
      <c r="F255" s="358"/>
      <c r="G255" s="358"/>
      <c r="H255" s="359"/>
      <c r="I255" s="359"/>
      <c r="J255" s="329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215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</row>
    <row r="256" spans="1:122" ht="17" customHeight="1" x14ac:dyDescent="0.3">
      <c r="A256" s="219"/>
      <c r="B256" s="155"/>
      <c r="C256" s="155"/>
      <c r="D256" s="642" t="s">
        <v>66</v>
      </c>
      <c r="E256" s="642"/>
      <c r="F256" s="642" t="s">
        <v>66</v>
      </c>
      <c r="G256" s="642"/>
      <c r="H256" s="642" t="s">
        <v>66</v>
      </c>
      <c r="I256" s="642"/>
      <c r="J256" s="17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</row>
    <row r="257" spans="1:122" ht="17" customHeight="1" x14ac:dyDescent="0.3">
      <c r="A257" s="219"/>
      <c r="B257" s="155"/>
      <c r="C257" s="356" t="s">
        <v>75</v>
      </c>
      <c r="D257" s="639">
        <f>D254+E254</f>
        <v>0</v>
      </c>
      <c r="E257" s="639"/>
      <c r="F257" s="639">
        <f>F254+G254</f>
        <v>0</v>
      </c>
      <c r="G257" s="639"/>
      <c r="H257" s="639">
        <f>H254+I254</f>
        <v>0</v>
      </c>
      <c r="I257" s="639"/>
      <c r="J257" s="17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</row>
    <row r="258" spans="1:122" s="24" customFormat="1" ht="17" customHeight="1" thickBot="1" x14ac:dyDescent="0.35">
      <c r="A258" s="328"/>
      <c r="B258" s="215"/>
      <c r="C258" s="357"/>
      <c r="D258" s="358"/>
      <c r="E258" s="358"/>
      <c r="F258" s="358"/>
      <c r="G258" s="358"/>
      <c r="H258" s="359"/>
      <c r="I258" s="359"/>
      <c r="J258" s="329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  <c r="BQ258" s="215"/>
      <c r="BR258" s="215"/>
      <c r="BS258" s="215"/>
      <c r="BT258" s="215"/>
      <c r="BU258" s="215"/>
      <c r="BV258" s="215"/>
      <c r="BW258" s="215"/>
      <c r="BX258" s="215"/>
      <c r="BY258" s="215"/>
      <c r="BZ258" s="215"/>
      <c r="CA258" s="215"/>
      <c r="CB258" s="215"/>
      <c r="CC258" s="215"/>
      <c r="CD258" s="215"/>
      <c r="CE258" s="215"/>
      <c r="CF258" s="215"/>
      <c r="CG258" s="215"/>
      <c r="CH258" s="215"/>
      <c r="CI258" s="215"/>
      <c r="CJ258" s="215"/>
      <c r="CK258" s="215"/>
      <c r="CL258" s="215"/>
      <c r="CM258" s="215"/>
      <c r="CN258" s="215"/>
      <c r="CO258" s="215"/>
      <c r="CP258" s="215"/>
      <c r="CQ258" s="215"/>
      <c r="CR258" s="215"/>
      <c r="CS258" s="215"/>
      <c r="CT258" s="215"/>
      <c r="CU258" s="215"/>
      <c r="CV258" s="215"/>
      <c r="CW258" s="215"/>
      <c r="CX258" s="215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</row>
    <row r="259" spans="1:122" ht="17" customHeight="1" thickBot="1" x14ac:dyDescent="0.35">
      <c r="A259" s="219"/>
      <c r="B259" s="343"/>
      <c r="C259" s="582" t="s">
        <v>257</v>
      </c>
      <c r="D259" s="583"/>
      <c r="E259" s="583"/>
      <c r="F259" s="583"/>
      <c r="G259" s="583"/>
      <c r="H259" s="583"/>
      <c r="I259" s="584"/>
      <c r="J259" s="17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</row>
    <row r="260" spans="1:122" ht="52.5" customHeight="1" x14ac:dyDescent="0.3">
      <c r="A260" s="219"/>
      <c r="B260" s="343"/>
      <c r="C260" s="704"/>
      <c r="D260" s="705"/>
      <c r="E260" s="705"/>
      <c r="F260" s="705"/>
      <c r="G260" s="705"/>
      <c r="H260" s="705"/>
      <c r="I260" s="706"/>
      <c r="J260" s="17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</row>
    <row r="261" spans="1:122" s="24" customFormat="1" ht="17" customHeight="1" x14ac:dyDescent="0.3">
      <c r="A261" s="328"/>
      <c r="B261" s="343"/>
      <c r="C261" s="349"/>
      <c r="D261" s="349"/>
      <c r="E261" s="349"/>
      <c r="F261" s="349"/>
      <c r="G261" s="349"/>
      <c r="H261" s="349"/>
      <c r="I261" s="349"/>
      <c r="J261" s="329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  <c r="BR261" s="215"/>
      <c r="BS261" s="215"/>
      <c r="BT261" s="215"/>
      <c r="BU261" s="215"/>
      <c r="BV261" s="215"/>
      <c r="BW261" s="215"/>
      <c r="BX261" s="215"/>
      <c r="BY261" s="215"/>
      <c r="BZ261" s="215"/>
      <c r="CA261" s="215"/>
      <c r="CB261" s="215"/>
      <c r="CC261" s="215"/>
      <c r="CD261" s="215"/>
      <c r="CE261" s="215"/>
      <c r="CF261" s="215"/>
      <c r="CG261" s="215"/>
      <c r="CH261" s="215"/>
      <c r="CI261" s="215"/>
      <c r="CJ261" s="215"/>
      <c r="CK261" s="215"/>
      <c r="CL261" s="215"/>
      <c r="CM261" s="215"/>
      <c r="CN261" s="215"/>
      <c r="CO261" s="215"/>
      <c r="CP261" s="215"/>
      <c r="CQ261" s="215"/>
      <c r="CR261" s="215"/>
      <c r="CS261" s="215"/>
      <c r="CT261" s="215"/>
      <c r="CU261" s="215"/>
      <c r="CV261" s="215"/>
      <c r="CW261" s="215"/>
      <c r="CX261" s="215"/>
      <c r="CY261" s="215"/>
      <c r="CZ261" s="215"/>
      <c r="DA261" s="215"/>
      <c r="DB261" s="215"/>
      <c r="DC261" s="215"/>
      <c r="DD261" s="215"/>
      <c r="DE261" s="215"/>
      <c r="DF261" s="215"/>
      <c r="DG261" s="215"/>
      <c r="DH261" s="215"/>
      <c r="DI261" s="215"/>
      <c r="DJ261" s="215"/>
      <c r="DK261" s="215"/>
      <c r="DL261" s="215"/>
      <c r="DM261" s="215"/>
      <c r="DN261" s="215"/>
      <c r="DO261" s="215"/>
      <c r="DP261" s="215"/>
      <c r="DQ261" s="215"/>
      <c r="DR261" s="215"/>
    </row>
    <row r="262" spans="1:122" ht="17" customHeight="1" x14ac:dyDescent="0.3">
      <c r="A262" s="11"/>
      <c r="B262" s="11" t="s">
        <v>153</v>
      </c>
      <c r="C262" s="419"/>
      <c r="D262" s="419"/>
      <c r="E262" s="419"/>
      <c r="F262" s="419"/>
      <c r="G262" s="419"/>
      <c r="H262" s="419"/>
      <c r="I262" s="419"/>
    </row>
    <row r="263" spans="1:122" ht="17" customHeight="1" x14ac:dyDescent="0.3">
      <c r="A263" s="11"/>
      <c r="B263" s="11" t="s">
        <v>167</v>
      </c>
      <c r="C263" s="13"/>
      <c r="D263" s="13"/>
      <c r="E263" s="32"/>
      <c r="F263" s="430"/>
      <c r="G263" s="430"/>
      <c r="H263" s="431"/>
      <c r="I263" s="13"/>
    </row>
    <row r="264" spans="1:122" s="64" customFormat="1" ht="6.75" customHeight="1" x14ac:dyDescent="0.25">
      <c r="A264" s="461"/>
      <c r="C264" s="579" t="s">
        <v>83</v>
      </c>
      <c r="D264" s="579"/>
      <c r="E264" s="579"/>
      <c r="F264" s="579"/>
      <c r="G264" s="579"/>
      <c r="H264" s="579"/>
      <c r="I264" s="579"/>
      <c r="J264" s="579"/>
    </row>
    <row r="265" spans="1:122" s="64" customFormat="1" ht="19.5" customHeight="1" thickBot="1" x14ac:dyDescent="0.3">
      <c r="A265" s="461"/>
      <c r="C265" s="579"/>
      <c r="D265" s="579"/>
      <c r="E265" s="579"/>
      <c r="F265" s="579"/>
      <c r="G265" s="579"/>
      <c r="H265" s="579"/>
      <c r="I265" s="579"/>
      <c r="J265" s="579"/>
    </row>
    <row r="266" spans="1:122" ht="17" customHeight="1" thickBot="1" x14ac:dyDescent="0.35">
      <c r="A266" s="21"/>
      <c r="D266" s="580" t="str">
        <f>E331</f>
        <v>2022-23</v>
      </c>
      <c r="E266" s="581"/>
      <c r="F266" s="580" t="str">
        <f>F331</f>
        <v>2023-24</v>
      </c>
      <c r="G266" s="581"/>
      <c r="H266" s="580" t="str">
        <f>G331</f>
        <v>2024-25</v>
      </c>
      <c r="I266" s="581"/>
      <c r="J266" s="5"/>
    </row>
    <row r="267" spans="1:122" ht="33.5" x14ac:dyDescent="0.3">
      <c r="A267" s="16"/>
      <c r="B267" s="35"/>
      <c r="C267" s="52" t="s">
        <v>84</v>
      </c>
      <c r="D267" s="46" t="s">
        <v>232</v>
      </c>
      <c r="E267" s="47" t="s">
        <v>85</v>
      </c>
      <c r="F267" s="46" t="s">
        <v>232</v>
      </c>
      <c r="G267" s="47" t="s">
        <v>85</v>
      </c>
      <c r="H267" s="46" t="s">
        <v>232</v>
      </c>
      <c r="I267" s="47" t="s">
        <v>85</v>
      </c>
      <c r="J267" s="5"/>
    </row>
    <row r="268" spans="1:122" s="5" customFormat="1" ht="17" customHeight="1" x14ac:dyDescent="0.3">
      <c r="B268" s="13" t="s">
        <v>86</v>
      </c>
      <c r="C268" s="53"/>
      <c r="D268" s="48"/>
      <c r="E268" s="49"/>
      <c r="F268" s="48"/>
      <c r="G268" s="49"/>
      <c r="H268" s="48"/>
      <c r="I268" s="49"/>
      <c r="J268" s="4"/>
    </row>
    <row r="269" spans="1:122" s="5" customFormat="1" ht="7.5" customHeight="1" x14ac:dyDescent="0.3">
      <c r="B269" s="13"/>
      <c r="C269" s="462"/>
      <c r="D269" s="362"/>
      <c r="E269" s="363"/>
      <c r="F269" s="362"/>
      <c r="G269" s="363"/>
      <c r="H269" s="362"/>
      <c r="I269" s="363"/>
      <c r="J269" s="4"/>
    </row>
    <row r="270" spans="1:122" s="5" customFormat="1" ht="17" customHeight="1" x14ac:dyDescent="0.3">
      <c r="B270" s="463" t="s">
        <v>87</v>
      </c>
      <c r="C270" s="54"/>
      <c r="D270" s="48"/>
      <c r="E270" s="49"/>
      <c r="F270" s="48"/>
      <c r="G270" s="49"/>
      <c r="H270" s="48"/>
      <c r="I270" s="49"/>
      <c r="J270" s="4"/>
    </row>
    <row r="271" spans="1:122" s="5" customFormat="1" ht="7.5" customHeight="1" x14ac:dyDescent="0.3">
      <c r="B271" s="13"/>
      <c r="C271" s="462"/>
      <c r="D271" s="362"/>
      <c r="E271" s="363"/>
      <c r="F271" s="362"/>
      <c r="G271" s="363"/>
      <c r="H271" s="362"/>
      <c r="I271" s="363"/>
      <c r="J271" s="4"/>
    </row>
    <row r="272" spans="1:122" s="5" customFormat="1" ht="17" customHeight="1" thickBot="1" x14ac:dyDescent="0.35">
      <c r="B272" s="463" t="s">
        <v>88</v>
      </c>
      <c r="C272" s="55"/>
      <c r="D272" s="50"/>
      <c r="E272" s="51"/>
      <c r="F272" s="50"/>
      <c r="G272" s="51"/>
      <c r="H272" s="50"/>
      <c r="I272" s="51"/>
      <c r="J272" s="4"/>
    </row>
    <row r="273" spans="1:10" s="5" customFormat="1" ht="17" customHeight="1" x14ac:dyDescent="0.3">
      <c r="B273" s="463"/>
      <c r="C273" s="464"/>
      <c r="D273" s="364"/>
      <c r="E273" s="365"/>
      <c r="F273" s="364"/>
      <c r="G273" s="365"/>
      <c r="H273" s="364"/>
      <c r="I273" s="365"/>
      <c r="J273" s="4"/>
    </row>
    <row r="274" spans="1:10" ht="17" customHeight="1" x14ac:dyDescent="0.3">
      <c r="A274" s="11"/>
      <c r="B274" s="11" t="s">
        <v>163</v>
      </c>
      <c r="C274" s="11" t="s">
        <v>180</v>
      </c>
      <c r="E274" s="37"/>
      <c r="F274" s="465"/>
      <c r="G274" s="466"/>
      <c r="H274" s="466"/>
    </row>
    <row r="275" spans="1:10" ht="9" customHeight="1" x14ac:dyDescent="0.3">
      <c r="A275" s="11"/>
      <c r="B275" s="11"/>
      <c r="C275" s="11"/>
      <c r="E275" s="37"/>
      <c r="F275" s="465"/>
      <c r="G275" s="466"/>
      <c r="H275" s="466"/>
    </row>
    <row r="276" spans="1:10" ht="17" customHeight="1" x14ac:dyDescent="0.35">
      <c r="A276" s="11"/>
      <c r="B276" s="11"/>
      <c r="C276" s="467"/>
      <c r="D276" s="648" t="s">
        <v>183</v>
      </c>
      <c r="E276" s="649"/>
      <c r="F276" s="577" t="s">
        <v>185</v>
      </c>
      <c r="G276" s="578"/>
      <c r="H276" s="650" t="s">
        <v>186</v>
      </c>
      <c r="I276" s="651"/>
    </row>
    <row r="277" spans="1:10" ht="17" customHeight="1" x14ac:dyDescent="0.35">
      <c r="A277" s="11"/>
      <c r="B277" s="42"/>
      <c r="C277" s="467" t="s">
        <v>86</v>
      </c>
      <c r="D277" s="468" t="s">
        <v>188</v>
      </c>
      <c r="E277" s="469" t="s">
        <v>184</v>
      </c>
      <c r="F277" s="468" t="s">
        <v>188</v>
      </c>
      <c r="G277" s="469" t="s">
        <v>184</v>
      </c>
      <c r="H277" s="468" t="s">
        <v>188</v>
      </c>
      <c r="I277" s="469" t="s">
        <v>184</v>
      </c>
    </row>
    <row r="278" spans="1:10" ht="17" customHeight="1" x14ac:dyDescent="0.3">
      <c r="A278" s="11"/>
      <c r="B278" s="42"/>
      <c r="C278" s="37" t="str">
        <f>B137</f>
        <v>2022-23</v>
      </c>
      <c r="D278" s="470">
        <f>Data!C13</f>
        <v>48</v>
      </c>
      <c r="E278" s="471">
        <f>Data!C20</f>
        <v>71482.430290000004</v>
      </c>
      <c r="F278" s="470">
        <f>Data!C14</f>
        <v>1</v>
      </c>
      <c r="G278" s="471">
        <f>Data!C21</f>
        <v>67890</v>
      </c>
      <c r="H278" s="470">
        <f>Data!C15</f>
        <v>6</v>
      </c>
      <c r="I278" s="472">
        <f>Data!C22</f>
        <v>113550</v>
      </c>
    </row>
    <row r="279" spans="1:10" ht="17" customHeight="1" x14ac:dyDescent="0.3">
      <c r="A279" s="11"/>
      <c r="B279" s="42"/>
      <c r="C279" s="37" t="str">
        <f>B138</f>
        <v>2023-24</v>
      </c>
      <c r="D279" s="470">
        <f>Data!D13</f>
        <v>52.800000000000004</v>
      </c>
      <c r="E279" s="471">
        <f>Data!D20</f>
        <v>73626.903198700005</v>
      </c>
      <c r="F279" s="470">
        <f>Data!D14</f>
        <v>1.5</v>
      </c>
      <c r="G279" s="471">
        <f>Data!D21</f>
        <v>69247.8</v>
      </c>
      <c r="H279" s="470">
        <f>Data!D15</f>
        <v>6</v>
      </c>
      <c r="I279" s="472">
        <f>Data!D22</f>
        <v>116956.5</v>
      </c>
    </row>
    <row r="280" spans="1:10" ht="17" customHeight="1" x14ac:dyDescent="0.3">
      <c r="A280" s="11"/>
      <c r="B280" s="42"/>
      <c r="C280" s="37" t="str">
        <f>B139</f>
        <v>2024-25</v>
      </c>
      <c r="D280" s="470">
        <f>Data!E13</f>
        <v>58.080000000000013</v>
      </c>
      <c r="E280" s="471">
        <f>Data!E20</f>
        <v>75835.71029466101</v>
      </c>
      <c r="F280" s="470">
        <f>Data!E14</f>
        <v>2</v>
      </c>
      <c r="G280" s="471">
        <f>Data!E21</f>
        <v>70632.756000000008</v>
      </c>
      <c r="H280" s="470">
        <f>Data!E15</f>
        <v>6</v>
      </c>
      <c r="I280" s="472">
        <f>Data!E22</f>
        <v>120465.19500000001</v>
      </c>
    </row>
    <row r="281" spans="1:10" ht="15" x14ac:dyDescent="0.3">
      <c r="A281" s="11"/>
      <c r="B281" s="42"/>
      <c r="C281" s="32"/>
      <c r="D281" s="13"/>
      <c r="E281" s="32"/>
      <c r="F281" s="429"/>
      <c r="G281" s="473"/>
      <c r="H281" s="473"/>
      <c r="I281" s="13"/>
    </row>
    <row r="282" spans="1:10" ht="17" customHeight="1" x14ac:dyDescent="0.3">
      <c r="A282" s="11"/>
      <c r="B282" s="11"/>
      <c r="C282" s="420"/>
      <c r="D282" s="745" t="s">
        <v>235</v>
      </c>
      <c r="E282" s="746"/>
      <c r="F282" s="747"/>
      <c r="G282" s="747"/>
      <c r="H282" s="703"/>
      <c r="I282" s="703"/>
    </row>
    <row r="283" spans="1:10" ht="17" customHeight="1" x14ac:dyDescent="0.3">
      <c r="A283" s="11"/>
      <c r="B283" s="42"/>
      <c r="C283" s="37" t="str">
        <f>C278</f>
        <v>2022-23</v>
      </c>
      <c r="D283" s="474"/>
      <c r="E283" s="471">
        <f>Data!C23</f>
        <v>320699.76</v>
      </c>
      <c r="F283" s="474"/>
      <c r="G283" s="475"/>
      <c r="H283" s="474"/>
      <c r="I283" s="476"/>
    </row>
    <row r="284" spans="1:10" ht="17" customHeight="1" x14ac:dyDescent="0.3">
      <c r="A284" s="11"/>
      <c r="B284" s="42"/>
      <c r="C284" s="37" t="str">
        <f t="shared" ref="C284:C285" si="15">C279</f>
        <v>2023-24</v>
      </c>
      <c r="D284" s="474"/>
      <c r="E284" s="471">
        <f>Data!D23</f>
        <v>330320.75280000002</v>
      </c>
      <c r="F284" s="474"/>
      <c r="G284" s="475"/>
      <c r="H284" s="474"/>
      <c r="I284" s="476"/>
    </row>
    <row r="285" spans="1:10" ht="17" customHeight="1" x14ac:dyDescent="0.3">
      <c r="A285" s="11"/>
      <c r="B285" s="42"/>
      <c r="C285" s="37" t="str">
        <f t="shared" si="15"/>
        <v>2024-25</v>
      </c>
      <c r="D285" s="474"/>
      <c r="E285" s="471">
        <f>Data!E23</f>
        <v>340230.37538400001</v>
      </c>
      <c r="F285" s="474"/>
      <c r="G285" s="475"/>
      <c r="H285" s="474"/>
      <c r="I285" s="476"/>
    </row>
    <row r="286" spans="1:10" ht="15" x14ac:dyDescent="0.3">
      <c r="A286" s="11"/>
      <c r="B286" s="42"/>
      <c r="C286" s="32"/>
      <c r="D286" s="13"/>
      <c r="E286" s="32"/>
      <c r="F286" s="429"/>
      <c r="G286" s="473"/>
      <c r="H286" s="473"/>
      <c r="I286" s="13"/>
    </row>
    <row r="287" spans="1:10" ht="37.5" customHeight="1" x14ac:dyDescent="0.3">
      <c r="A287" s="11"/>
      <c r="B287" s="42"/>
      <c r="C287" s="32"/>
      <c r="D287" s="477" t="s">
        <v>236</v>
      </c>
      <c r="E287" s="478" t="s">
        <v>190</v>
      </c>
      <c r="F287" s="478" t="s">
        <v>255</v>
      </c>
      <c r="G287" s="479" t="s">
        <v>162</v>
      </c>
      <c r="H287" s="32"/>
      <c r="I287" s="465"/>
    </row>
    <row r="288" spans="1:10" ht="17" customHeight="1" x14ac:dyDescent="0.3">
      <c r="A288" s="11"/>
      <c r="B288" s="42"/>
      <c r="C288" s="37" t="str">
        <f>C278</f>
        <v>2022-23</v>
      </c>
      <c r="D288" s="415">
        <f>(D278*E278)+(F278*G278)+(H278*I278)+E283</f>
        <v>4501046.4139200002</v>
      </c>
      <c r="E288" s="458">
        <f>Data!C96+Data!C107</f>
        <v>3985023</v>
      </c>
      <c r="F288" s="458">
        <f>E288-D288</f>
        <v>-516023.4139200002</v>
      </c>
      <c r="G288" s="441" t="str">
        <f>IF(E288-D288&lt;0,"Understated","No")</f>
        <v>Understated</v>
      </c>
      <c r="H288" s="431"/>
      <c r="I288" s="431"/>
    </row>
    <row r="289" spans="1:9" ht="17" customHeight="1" x14ac:dyDescent="0.3">
      <c r="A289" s="11"/>
      <c r="B289" s="42"/>
      <c r="C289" s="37" t="str">
        <f>C279</f>
        <v>2023-24</v>
      </c>
      <c r="D289" s="415">
        <f>(D279*E279)+(F279*G279)+(H279*I279)+E284</f>
        <v>5023431.9416913604</v>
      </c>
      <c r="E289" s="458">
        <f>Data!D96+Data!D107</f>
        <v>4383256</v>
      </c>
      <c r="F289" s="458">
        <f t="shared" ref="F289:F290" si="16">E289-D289</f>
        <v>-640175.94169136044</v>
      </c>
      <c r="G289" s="441" t="str">
        <f t="shared" ref="G289:G290" si="17">IF(E289-D289&lt;0,"Understated","No")</f>
        <v>Understated</v>
      </c>
      <c r="H289" s="431"/>
      <c r="I289" s="431"/>
    </row>
    <row r="290" spans="1:9" ht="17" customHeight="1" x14ac:dyDescent="0.3">
      <c r="A290" s="11"/>
      <c r="B290" s="42"/>
      <c r="C290" s="37" t="str">
        <f>C280</f>
        <v>2024-25</v>
      </c>
      <c r="D290" s="415">
        <f>(D280*E280)+(F280*G280)+(H280*I280)+E285</f>
        <v>5608825.1112979129</v>
      </c>
      <c r="E290" s="458">
        <f>Data!E96+Data!E107</f>
        <v>4821878</v>
      </c>
      <c r="F290" s="458">
        <f t="shared" si="16"/>
        <v>-786947.1112979129</v>
      </c>
      <c r="G290" s="441" t="str">
        <f t="shared" si="17"/>
        <v>Understated</v>
      </c>
      <c r="H290" s="431"/>
      <c r="I290" s="431"/>
    </row>
    <row r="291" spans="1:9" ht="17" customHeight="1" x14ac:dyDescent="0.3">
      <c r="A291" s="11"/>
      <c r="B291" s="42"/>
      <c r="C291" s="23"/>
      <c r="D291" s="480"/>
      <c r="E291" s="481"/>
      <c r="F291" s="431"/>
      <c r="G291" s="431"/>
      <c r="H291" s="431"/>
      <c r="I291" s="431"/>
    </row>
    <row r="292" spans="1:9" ht="15" x14ac:dyDescent="0.3">
      <c r="A292" s="11"/>
      <c r="B292" s="11"/>
      <c r="C292" s="11"/>
      <c r="E292" s="37"/>
      <c r="F292" s="465"/>
      <c r="G292" s="466"/>
      <c r="H292" s="466"/>
    </row>
    <row r="293" spans="1:9" ht="17" customHeight="1" x14ac:dyDescent="0.35">
      <c r="A293" s="11"/>
      <c r="B293" s="11"/>
      <c r="C293" s="467"/>
      <c r="D293" s="648" t="s">
        <v>187</v>
      </c>
      <c r="E293" s="649"/>
      <c r="F293" s="577" t="s">
        <v>189</v>
      </c>
      <c r="G293" s="578"/>
      <c r="H293" s="482"/>
      <c r="I293" s="476"/>
    </row>
    <row r="294" spans="1:9" ht="17" customHeight="1" x14ac:dyDescent="0.35">
      <c r="A294" s="11"/>
      <c r="B294" s="42"/>
      <c r="C294" s="467" t="s">
        <v>182</v>
      </c>
      <c r="D294" s="468" t="s">
        <v>188</v>
      </c>
      <c r="E294" s="469" t="s">
        <v>184</v>
      </c>
      <c r="F294" s="468" t="s">
        <v>188</v>
      </c>
      <c r="G294" s="469" t="s">
        <v>184</v>
      </c>
      <c r="H294" s="473"/>
      <c r="I294" s="32"/>
    </row>
    <row r="295" spans="1:9" ht="17" customHeight="1" x14ac:dyDescent="0.3">
      <c r="A295" s="11"/>
      <c r="B295" s="42"/>
      <c r="C295" s="37" t="str">
        <f>C288</f>
        <v>2022-23</v>
      </c>
      <c r="D295" s="470">
        <f>Data!C17</f>
        <v>8</v>
      </c>
      <c r="E295" s="471">
        <f>Data!C25</f>
        <v>55872.727270000003</v>
      </c>
      <c r="F295" s="470">
        <f>Data!C18</f>
        <v>2</v>
      </c>
      <c r="G295" s="471">
        <f>Data!C26</f>
        <v>101337.5</v>
      </c>
      <c r="H295" s="482"/>
      <c r="I295" s="476"/>
    </row>
    <row r="296" spans="1:9" ht="17" customHeight="1" x14ac:dyDescent="0.3">
      <c r="A296" s="11"/>
      <c r="B296" s="42"/>
      <c r="C296" s="37" t="str">
        <f>C289</f>
        <v>2023-24</v>
      </c>
      <c r="D296" s="470">
        <f>Data!D17</f>
        <v>8</v>
      </c>
      <c r="E296" s="471">
        <f>Data!D25</f>
        <v>56990.181815400007</v>
      </c>
      <c r="F296" s="470">
        <f>Data!D18</f>
        <v>2</v>
      </c>
      <c r="G296" s="471">
        <f>Data!D26</f>
        <v>103364.25</v>
      </c>
      <c r="H296" s="482"/>
      <c r="I296" s="476"/>
    </row>
    <row r="297" spans="1:9" ht="17" customHeight="1" x14ac:dyDescent="0.3">
      <c r="A297" s="11"/>
      <c r="B297" s="42"/>
      <c r="C297" s="37" t="str">
        <f>C290</f>
        <v>2024-25</v>
      </c>
      <c r="D297" s="470">
        <f>Data!E17</f>
        <v>8</v>
      </c>
      <c r="E297" s="471">
        <f>Data!E25</f>
        <v>58129.985451708009</v>
      </c>
      <c r="F297" s="470">
        <f>Data!E18</f>
        <v>2</v>
      </c>
      <c r="G297" s="471">
        <f>Data!E26</f>
        <v>105431.535</v>
      </c>
      <c r="H297" s="482"/>
      <c r="I297" s="476"/>
    </row>
    <row r="298" spans="1:9" ht="15" x14ac:dyDescent="0.3">
      <c r="A298" s="11"/>
      <c r="B298" s="42"/>
      <c r="C298" s="32"/>
      <c r="D298" s="13"/>
      <c r="E298" s="32"/>
      <c r="F298" s="429"/>
      <c r="G298" s="473"/>
      <c r="H298" s="473"/>
      <c r="I298" s="13"/>
    </row>
    <row r="299" spans="1:9" ht="17" customHeight="1" x14ac:dyDescent="0.3">
      <c r="A299" s="11"/>
      <c r="B299" s="11"/>
      <c r="C299" s="420"/>
      <c r="D299" s="745" t="s">
        <v>235</v>
      </c>
      <c r="E299" s="746"/>
      <c r="F299" s="747"/>
      <c r="G299" s="747"/>
      <c r="H299" s="703"/>
      <c r="I299" s="703"/>
    </row>
    <row r="300" spans="1:9" ht="17" customHeight="1" x14ac:dyDescent="0.3">
      <c r="A300" s="11"/>
      <c r="B300" s="42"/>
      <c r="C300" s="37" t="str">
        <f>C295</f>
        <v>2022-23</v>
      </c>
      <c r="D300" s="474"/>
      <c r="E300" s="471">
        <f>Data!C27</f>
        <v>27500</v>
      </c>
      <c r="F300" s="474"/>
      <c r="G300" s="475"/>
      <c r="H300" s="474"/>
      <c r="I300" s="476"/>
    </row>
    <row r="301" spans="1:9" ht="17" customHeight="1" x14ac:dyDescent="0.3">
      <c r="A301" s="11"/>
      <c r="B301" s="42"/>
      <c r="C301" s="37" t="str">
        <f t="shared" ref="C301:C302" si="18">C296</f>
        <v>2023-24</v>
      </c>
      <c r="D301" s="474"/>
      <c r="E301" s="471">
        <f>Data!D27</f>
        <v>27775</v>
      </c>
      <c r="F301" s="474"/>
      <c r="G301" s="475"/>
      <c r="H301" s="474"/>
      <c r="I301" s="476"/>
    </row>
    <row r="302" spans="1:9" ht="17" customHeight="1" x14ac:dyDescent="0.3">
      <c r="A302" s="11"/>
      <c r="B302" s="42"/>
      <c r="C302" s="37" t="str">
        <f t="shared" si="18"/>
        <v>2024-25</v>
      </c>
      <c r="D302" s="474"/>
      <c r="E302" s="471">
        <f>Data!E27</f>
        <v>28052.75</v>
      </c>
      <c r="F302" s="474"/>
      <c r="G302" s="475"/>
      <c r="H302" s="474"/>
      <c r="I302" s="476"/>
    </row>
    <row r="303" spans="1:9" ht="15" x14ac:dyDescent="0.3">
      <c r="A303" s="11"/>
      <c r="B303" s="42"/>
      <c r="C303" s="32"/>
      <c r="D303" s="13"/>
      <c r="E303" s="32"/>
      <c r="F303" s="429"/>
      <c r="G303" s="473"/>
      <c r="H303" s="473"/>
      <c r="I303" s="13"/>
    </row>
    <row r="304" spans="1:9" ht="37.5" customHeight="1" x14ac:dyDescent="0.3">
      <c r="A304" s="11"/>
      <c r="B304" s="42"/>
      <c r="C304" s="32"/>
      <c r="D304" s="477" t="s">
        <v>237</v>
      </c>
      <c r="E304" s="478" t="s">
        <v>190</v>
      </c>
      <c r="F304" s="478" t="s">
        <v>255</v>
      </c>
      <c r="G304" s="479" t="s">
        <v>162</v>
      </c>
      <c r="H304" s="32"/>
      <c r="I304" s="465"/>
    </row>
    <row r="305" spans="1:10" ht="17" customHeight="1" x14ac:dyDescent="0.3">
      <c r="A305" s="11"/>
      <c r="B305" s="42"/>
      <c r="C305" s="37" t="str">
        <f>C295</f>
        <v>2022-23</v>
      </c>
      <c r="D305" s="415">
        <f>(D295*E295)+(F295*G295)+E300</f>
        <v>677156.81816000002</v>
      </c>
      <c r="E305" s="458">
        <f>Data!C97+Data!C108</f>
        <v>553222</v>
      </c>
      <c r="F305" s="458">
        <f>E305-D305</f>
        <v>-123934.81816000002</v>
      </c>
      <c r="G305" s="441" t="str">
        <f>IF(E305-D305&lt;0,"Understated","No")</f>
        <v>Understated</v>
      </c>
      <c r="H305" s="431"/>
      <c r="I305" s="431"/>
    </row>
    <row r="306" spans="1:10" ht="17" customHeight="1" x14ac:dyDescent="0.3">
      <c r="A306" s="11"/>
      <c r="B306" s="42"/>
      <c r="C306" s="37" t="str">
        <f>C296</f>
        <v>2023-24</v>
      </c>
      <c r="D306" s="415">
        <f>(D296*E296)+(F296*G296)+E301</f>
        <v>690424.95452320005</v>
      </c>
      <c r="E306" s="458">
        <f>Data!D97+Data!D108</f>
        <v>608544</v>
      </c>
      <c r="F306" s="458">
        <f t="shared" ref="F306:F307" si="19">E306-D306</f>
        <v>-81880.954523200053</v>
      </c>
      <c r="G306" s="441" t="str">
        <f t="shared" ref="G306:G307" si="20">IF(E306-D306&lt;0,"Understated","No")</f>
        <v>Understated</v>
      </c>
      <c r="H306" s="431"/>
      <c r="I306" s="431"/>
    </row>
    <row r="307" spans="1:10" ht="17" customHeight="1" x14ac:dyDescent="0.3">
      <c r="A307" s="11"/>
      <c r="B307" s="42"/>
      <c r="C307" s="37" t="str">
        <f>C297</f>
        <v>2024-25</v>
      </c>
      <c r="D307" s="415">
        <f>(D297*E297)+(F297*G297)+E302</f>
        <v>703955.70361366402</v>
      </c>
      <c r="E307" s="458">
        <f>Data!E97+Data!E108</f>
        <v>669399</v>
      </c>
      <c r="F307" s="458">
        <f t="shared" si="19"/>
        <v>-34556.703613664024</v>
      </c>
      <c r="G307" s="441" t="str">
        <f t="shared" si="20"/>
        <v>Understated</v>
      </c>
      <c r="H307" s="431"/>
      <c r="I307" s="431"/>
    </row>
    <row r="308" spans="1:10" ht="17" customHeight="1" thickBot="1" x14ac:dyDescent="0.35">
      <c r="A308" s="11"/>
      <c r="B308" s="42"/>
      <c r="C308" s="23"/>
      <c r="D308" s="480"/>
      <c r="E308" s="481"/>
      <c r="F308" s="431"/>
      <c r="G308" s="431"/>
      <c r="H308" s="431"/>
      <c r="I308" s="431"/>
    </row>
    <row r="309" spans="1:10" s="4" customFormat="1" ht="29.25" customHeight="1" thickBot="1" x14ac:dyDescent="0.35">
      <c r="B309" s="593" t="s">
        <v>247</v>
      </c>
      <c r="C309" s="594"/>
      <c r="D309" s="594"/>
      <c r="E309" s="594"/>
      <c r="F309" s="594"/>
      <c r="G309" s="594"/>
      <c r="H309" s="594"/>
      <c r="I309" s="595"/>
    </row>
    <row r="310" spans="1:10" s="4" customFormat="1" ht="94.5" customHeight="1" x14ac:dyDescent="0.3">
      <c r="B310" s="574"/>
      <c r="C310" s="575"/>
      <c r="D310" s="575"/>
      <c r="E310" s="575"/>
      <c r="F310" s="575"/>
      <c r="G310" s="575"/>
      <c r="H310" s="575"/>
      <c r="I310" s="576"/>
    </row>
    <row r="311" spans="1:10" ht="17" customHeight="1" x14ac:dyDescent="0.3">
      <c r="A311" s="11"/>
      <c r="B311" s="42"/>
      <c r="C311" s="13"/>
      <c r="D311" s="13"/>
      <c r="E311" s="481"/>
      <c r="F311" s="429"/>
      <c r="G311" s="431"/>
      <c r="H311" s="431"/>
      <c r="I311" s="13"/>
    </row>
    <row r="312" spans="1:10" ht="17" customHeight="1" x14ac:dyDescent="0.3">
      <c r="A312" s="11"/>
      <c r="B312" s="11" t="s">
        <v>248</v>
      </c>
      <c r="C312" s="419"/>
      <c r="D312" s="419"/>
      <c r="E312" s="419"/>
      <c r="F312" s="419"/>
      <c r="G312" s="419"/>
      <c r="H312" s="419"/>
      <c r="I312" s="419"/>
    </row>
    <row r="313" spans="1:10" ht="17" customHeight="1" x14ac:dyDescent="0.3">
      <c r="A313" s="11"/>
      <c r="B313" s="11" t="s">
        <v>156</v>
      </c>
      <c r="C313" s="11" t="s">
        <v>180</v>
      </c>
      <c r="D313" s="13"/>
      <c r="E313" s="32"/>
      <c r="F313" s="429"/>
      <c r="G313" s="430"/>
      <c r="H313" s="431"/>
      <c r="I313" s="13"/>
    </row>
    <row r="314" spans="1:10" ht="29.25" customHeight="1" x14ac:dyDescent="0.3">
      <c r="A314" s="11"/>
      <c r="B314" s="42"/>
      <c r="C314" s="13"/>
      <c r="D314" s="432" t="s">
        <v>238</v>
      </c>
      <c r="E314" s="433" t="s">
        <v>242</v>
      </c>
      <c r="F314" s="434" t="s">
        <v>164</v>
      </c>
      <c r="G314" s="435" t="s">
        <v>165</v>
      </c>
      <c r="H314" s="436" t="s">
        <v>244</v>
      </c>
      <c r="I314" s="436" t="s">
        <v>245</v>
      </c>
      <c r="J314" s="437"/>
    </row>
    <row r="315" spans="1:10" ht="17" customHeight="1" x14ac:dyDescent="0.3">
      <c r="A315" s="11"/>
      <c r="B315" s="42"/>
      <c r="C315" s="37" t="str">
        <f>C288</f>
        <v>2022-23</v>
      </c>
      <c r="D315" s="415">
        <f>IF(Data!C32&lt;&gt;0,Data!C32*((E278*D278)+(G278*F278)+(I278*H278)),Data!C34*(Review!D278+Review!F278+Review!H278))</f>
        <v>798446.21089872008</v>
      </c>
      <c r="E315" s="415">
        <f>IF(Data!C33&lt;&gt;0,Data!C33*((D295*E295)+(F295*G295)),Data!C35*(Review!D295+Review!F295))</f>
        <v>79926</v>
      </c>
      <c r="F315" s="415">
        <f>Data!C30*(D278+F278+H278)</f>
        <v>439593</v>
      </c>
      <c r="G315" s="415">
        <f>Data!C29*(D295+F295)</f>
        <v>93635.728220000005</v>
      </c>
      <c r="H315" s="415">
        <f>(Data!C38+Data!C39+Data!C40)*E288</f>
        <v>146648.84640000001</v>
      </c>
      <c r="I315" s="415">
        <f>(Data!C37+Data!C38+Data!C39+Data!C40)*E305</f>
        <v>54658.333599999998</v>
      </c>
      <c r="J315" s="438"/>
    </row>
    <row r="316" spans="1:10" ht="17" customHeight="1" x14ac:dyDescent="0.3">
      <c r="A316" s="11"/>
      <c r="B316" s="42"/>
      <c r="C316" s="37" t="str">
        <f>C289</f>
        <v>2023-24</v>
      </c>
      <c r="D316" s="415">
        <f>IF(Data!D32&lt;&gt;0,Data!D32*((E279*D279)+(G279*F279)+(I279*H279)),Data!D32*(D279+F279+H279))</f>
        <v>896384.23707824992</v>
      </c>
      <c r="E316" s="415">
        <f>IF(Data!D33&lt;&gt;0,Data!D33*((D296*E296)+(F296*G296)),Data!D35*(Review!D296+Review!F296))</f>
        <v>81140.875200000009</v>
      </c>
      <c r="F316" s="415">
        <f>Data!D30*(D279+F279+H279)</f>
        <v>489279.47745600011</v>
      </c>
      <c r="G316" s="415">
        <f>Data!D29*(D296+F296)</f>
        <v>95058.991288944017</v>
      </c>
      <c r="H316" s="415">
        <f>(Data!D38+Data!D39+Data!D40)*E289</f>
        <v>146839.076</v>
      </c>
      <c r="I316" s="415">
        <f>(Data!D37+Data!D38+Data!D39+Data!D40)*E306</f>
        <v>58115.95199999999</v>
      </c>
      <c r="J316" s="438"/>
    </row>
    <row r="317" spans="1:10" ht="17" customHeight="1" x14ac:dyDescent="0.3">
      <c r="A317" s="11"/>
      <c r="B317" s="42"/>
      <c r="C317" s="37" t="str">
        <f>C290</f>
        <v>2024-25</v>
      </c>
      <c r="D317" s="415">
        <f>IF(Data!E32&lt;&gt;0,Data!E32*((E280*D280)+(G280*F280)+(I280*H280)),Data!E32*(D280+F280+H280))</f>
        <v>1006301.5945595574</v>
      </c>
      <c r="E317" s="415">
        <f>IF(Data!E33&lt;&gt;0,Data!E33*((D297*E297)+(F297*G297)),Data!E35*(Review!D297+Review!F297))</f>
        <v>82422.901028160006</v>
      </c>
      <c r="F317" s="415">
        <f>Data!E30*(D280+F280+H280)</f>
        <v>544650.52999408147</v>
      </c>
      <c r="G317" s="415">
        <f>Data!E29*(D297+F297)</f>
        <v>97254.853987718612</v>
      </c>
      <c r="H317" s="415">
        <f>(Data!E38+Data!E39+Data!E40)*E290</f>
        <v>132601.64500000002</v>
      </c>
      <c r="I317" s="415">
        <f>(Data!E37+Data!E38+Data!E39+Data!E40)*E307</f>
        <v>59911.210500000001</v>
      </c>
      <c r="J317" s="438"/>
    </row>
    <row r="318" spans="1:10" ht="17" customHeight="1" thickBot="1" x14ac:dyDescent="0.35">
      <c r="A318" s="11"/>
      <c r="B318" s="42"/>
      <c r="C318" s="32"/>
      <c r="D318" s="13"/>
      <c r="E318" s="32"/>
      <c r="F318" s="429"/>
      <c r="G318" s="430"/>
      <c r="H318" s="430"/>
      <c r="I318" s="13"/>
    </row>
    <row r="319" spans="1:10" ht="33" customHeight="1" x14ac:dyDescent="0.3">
      <c r="A319" s="11"/>
      <c r="B319" s="42"/>
      <c r="C319" s="32"/>
      <c r="D319" s="421" t="s">
        <v>166</v>
      </c>
      <c r="E319" s="439" t="s">
        <v>191</v>
      </c>
      <c r="F319" s="440" t="s">
        <v>162</v>
      </c>
      <c r="G319" s="596" t="s">
        <v>258</v>
      </c>
      <c r="H319" s="597"/>
      <c r="I319" s="597"/>
      <c r="J319" s="598"/>
    </row>
    <row r="320" spans="1:10" ht="17" customHeight="1" x14ac:dyDescent="0.3">
      <c r="A320" s="11"/>
      <c r="B320" s="42"/>
      <c r="C320" s="37" t="str">
        <f>C315</f>
        <v>2022-23</v>
      </c>
      <c r="D320" s="415">
        <f>SUM(D315:I315)</f>
        <v>1612908.1191187201</v>
      </c>
      <c r="E320" s="415">
        <f>Data!C98+Data!C109</f>
        <v>1309762</v>
      </c>
      <c r="F320" s="541">
        <f>IF(E320-D320&lt;0,E320-D320,"No")</f>
        <v>-303146.11911872006</v>
      </c>
      <c r="G320" s="724"/>
      <c r="H320" s="725"/>
      <c r="I320" s="725"/>
      <c r="J320" s="726"/>
    </row>
    <row r="321" spans="1:10" ht="17" customHeight="1" x14ac:dyDescent="0.3">
      <c r="A321" s="11"/>
      <c r="B321" s="42"/>
      <c r="C321" s="37" t="str">
        <f t="shared" ref="C321:C322" si="21">C316</f>
        <v>2023-24</v>
      </c>
      <c r="D321" s="415">
        <f t="shared" ref="D321:D322" si="22">SUM(D316:I316)</f>
        <v>1766818.6090231938</v>
      </c>
      <c r="E321" s="415">
        <f>Data!D98+Data!D109</f>
        <v>1440738</v>
      </c>
      <c r="F321" s="541">
        <f>IF(E321-D321&lt;0,E321-D321,"No")</f>
        <v>-326080.60902319383</v>
      </c>
      <c r="G321" s="727"/>
      <c r="H321" s="728"/>
      <c r="I321" s="728"/>
      <c r="J321" s="729"/>
    </row>
    <row r="322" spans="1:10" ht="17" customHeight="1" x14ac:dyDescent="0.3">
      <c r="A322" s="11"/>
      <c r="B322" s="42"/>
      <c r="C322" s="37" t="str">
        <f t="shared" si="21"/>
        <v>2024-25</v>
      </c>
      <c r="D322" s="415">
        <f t="shared" si="22"/>
        <v>1923142.7350695175</v>
      </c>
      <c r="E322" s="415">
        <f>Data!E98+Data!E109</f>
        <v>1584812</v>
      </c>
      <c r="F322" s="541">
        <f>IF(E322-D322&lt;0,E322-D322,"No")</f>
        <v>-338330.73506951751</v>
      </c>
      <c r="G322" s="727"/>
      <c r="H322" s="728"/>
      <c r="I322" s="728"/>
      <c r="J322" s="729"/>
    </row>
    <row r="323" spans="1:10" ht="33" customHeight="1" x14ac:dyDescent="0.3">
      <c r="A323" s="11"/>
      <c r="B323" s="42"/>
      <c r="C323" s="13"/>
      <c r="D323" s="13"/>
      <c r="E323" s="32"/>
      <c r="F323" s="429"/>
      <c r="G323" s="727"/>
      <c r="H323" s="728"/>
      <c r="I323" s="728"/>
      <c r="J323" s="729"/>
    </row>
    <row r="324" spans="1:10" ht="17" customHeight="1" x14ac:dyDescent="0.3">
      <c r="A324" s="11"/>
      <c r="B324" s="42"/>
      <c r="G324" s="730"/>
      <c r="H324" s="731"/>
      <c r="I324" s="731"/>
      <c r="J324" s="732"/>
    </row>
    <row r="325" spans="1:10" ht="17" customHeight="1" thickBot="1" x14ac:dyDescent="0.35">
      <c r="A325" s="11"/>
      <c r="B325" s="42"/>
      <c r="C325" s="592" t="s">
        <v>78</v>
      </c>
      <c r="D325" s="592"/>
      <c r="E325" s="592"/>
      <c r="F325" s="592"/>
      <c r="G325" s="592"/>
      <c r="H325" s="592"/>
    </row>
    <row r="326" spans="1:10" s="13" customFormat="1" ht="17" customHeight="1" thickBot="1" x14ac:dyDescent="0.3">
      <c r="A326" s="23"/>
      <c r="B326" s="442"/>
      <c r="C326" s="588" t="s">
        <v>79</v>
      </c>
      <c r="D326" s="589"/>
      <c r="E326" s="443" t="str">
        <f>E205</f>
        <v>2022-23</v>
      </c>
      <c r="F326" s="443" t="str">
        <f>F205</f>
        <v>2023-24</v>
      </c>
      <c r="G326" s="444" t="str">
        <f>G205</f>
        <v>2024-25</v>
      </c>
      <c r="H326" s="445"/>
    </row>
    <row r="327" spans="1:10" s="13" customFormat="1" ht="17" customHeight="1" x14ac:dyDescent="0.25">
      <c r="A327" s="23"/>
      <c r="B327" s="423"/>
      <c r="C327" s="590" t="s">
        <v>80</v>
      </c>
      <c r="D327" s="590"/>
      <c r="E327" s="226">
        <f>Data!C32</f>
        <v>0.191</v>
      </c>
      <c r="F327" s="226">
        <f>Data!D32</f>
        <v>0.191</v>
      </c>
      <c r="G327" s="226">
        <f>Data!E32</f>
        <v>0.191</v>
      </c>
      <c r="H327" s="445"/>
    </row>
    <row r="328" spans="1:10" s="13" customFormat="1" ht="17" customHeight="1" x14ac:dyDescent="0.25">
      <c r="A328" s="23"/>
      <c r="B328" s="423"/>
      <c r="C328" s="591" t="s">
        <v>81</v>
      </c>
      <c r="D328" s="591"/>
      <c r="E328" s="446">
        <v>0.191</v>
      </c>
      <c r="F328" s="446">
        <v>0.191</v>
      </c>
      <c r="G328" s="446">
        <v>0.191</v>
      </c>
      <c r="H328" s="445"/>
    </row>
    <row r="329" spans="1:10" s="13" customFormat="1" ht="17" customHeight="1" x14ac:dyDescent="0.25">
      <c r="A329" s="23"/>
      <c r="B329" s="423"/>
      <c r="C329" s="447"/>
      <c r="D329" s="445"/>
      <c r="E329" s="418" t="str">
        <f>IF(E328&gt;F327,"Understated",IF(E328="","",IF(E327&gt;E328,"Overstated","Agrees")))</f>
        <v>Agrees</v>
      </c>
      <c r="F329" s="418" t="str">
        <f>IF(F328&gt;F327,"Understated",IF(F328="","",IF(F327&gt;F328,"Overstated","Agrees")))</f>
        <v>Agrees</v>
      </c>
      <c r="G329" s="418" t="str">
        <f>IF(G328&gt;G327,"Understated",IF(G328="","",IF(G327&gt;G328,"Overstated","Agrees")))</f>
        <v>Agrees</v>
      </c>
      <c r="H329" s="445"/>
    </row>
    <row r="330" spans="1:10" s="13" customFormat="1" ht="17" customHeight="1" thickBot="1" x14ac:dyDescent="0.3">
      <c r="A330" s="23"/>
      <c r="B330" s="423"/>
      <c r="C330" s="447"/>
      <c r="D330" s="445"/>
      <c r="E330" s="445"/>
      <c r="F330" s="445"/>
      <c r="G330" s="445"/>
      <c r="H330" s="445"/>
    </row>
    <row r="331" spans="1:10" s="13" customFormat="1" ht="17" customHeight="1" thickBot="1" x14ac:dyDescent="0.3">
      <c r="A331" s="23"/>
      <c r="B331" s="423"/>
      <c r="C331" s="588" t="s">
        <v>82</v>
      </c>
      <c r="D331" s="589"/>
      <c r="E331" s="443" t="str">
        <f>E326</f>
        <v>2022-23</v>
      </c>
      <c r="F331" s="443" t="str">
        <f>F326</f>
        <v>2023-24</v>
      </c>
      <c r="G331" s="444" t="str">
        <f>G326</f>
        <v>2024-25</v>
      </c>
      <c r="H331" s="445"/>
    </row>
    <row r="332" spans="1:10" s="13" customFormat="1" ht="17" customHeight="1" x14ac:dyDescent="0.25">
      <c r="A332" s="23"/>
      <c r="B332" s="423"/>
      <c r="C332" s="590" t="s">
        <v>80</v>
      </c>
      <c r="D332" s="590"/>
      <c r="E332" s="448">
        <f>Data!C33</f>
        <v>0</v>
      </c>
      <c r="F332" s="448">
        <f>Data!D33</f>
        <v>0</v>
      </c>
      <c r="G332" s="448">
        <f>Data!E33</f>
        <v>0</v>
      </c>
      <c r="H332" s="445"/>
    </row>
    <row r="333" spans="1:10" s="13" customFormat="1" ht="17" customHeight="1" x14ac:dyDescent="0.25">
      <c r="A333" s="23"/>
      <c r="B333" s="423"/>
      <c r="C333" s="591" t="s">
        <v>81</v>
      </c>
      <c r="D333" s="591"/>
      <c r="E333" s="446">
        <v>0</v>
      </c>
      <c r="F333" s="446">
        <v>0</v>
      </c>
      <c r="G333" s="446">
        <v>0</v>
      </c>
      <c r="H333" s="445"/>
    </row>
    <row r="334" spans="1:10" ht="17" customHeight="1" x14ac:dyDescent="0.3">
      <c r="A334" s="11"/>
      <c r="B334" s="42"/>
      <c r="C334" s="138"/>
      <c r="D334" s="141"/>
      <c r="E334" s="418" t="str">
        <f>IF(E333&gt;E332,"Understated",IF(E333&lt;E332,"Overstated",""))</f>
        <v/>
      </c>
      <c r="F334" s="418" t="str">
        <f t="shared" ref="F334:G334" si="23">IF(F333&gt;F332,"Understated",IF(F333&lt;F332,"Overstated",""))</f>
        <v/>
      </c>
      <c r="G334" s="418" t="str">
        <f t="shared" si="23"/>
        <v/>
      </c>
      <c r="H334" s="141"/>
    </row>
    <row r="335" spans="1:10" ht="17" customHeight="1" thickBot="1" x14ac:dyDescent="0.35">
      <c r="A335" s="11"/>
      <c r="B335" s="42"/>
      <c r="C335" s="138"/>
      <c r="D335" s="141"/>
      <c r="E335" s="59"/>
      <c r="F335" s="59"/>
      <c r="G335" s="59"/>
      <c r="H335" s="141"/>
    </row>
    <row r="336" spans="1:10" s="13" customFormat="1" ht="41" thickBot="1" x14ac:dyDescent="0.35">
      <c r="A336" s="23"/>
      <c r="C336" s="420" t="s">
        <v>249</v>
      </c>
      <c r="D336" s="421" t="s">
        <v>250</v>
      </c>
      <c r="E336" s="421" t="s">
        <v>251</v>
      </c>
      <c r="F336" s="421" t="s">
        <v>252</v>
      </c>
      <c r="G336" s="422" t="s">
        <v>253</v>
      </c>
      <c r="H336" s="599" t="s">
        <v>254</v>
      </c>
      <c r="I336" s="600"/>
      <c r="J336" s="601"/>
    </row>
    <row r="337" spans="1:10" s="13" customFormat="1" ht="17" customHeight="1" x14ac:dyDescent="0.25">
      <c r="A337" s="23"/>
      <c r="B337" s="423"/>
      <c r="C337" s="32" t="str">
        <f>B134</f>
        <v>2019-20</v>
      </c>
      <c r="D337" s="424">
        <f>2075810</f>
        <v>2075810</v>
      </c>
      <c r="E337" s="425">
        <f>297405+169882+84371</f>
        <v>551658</v>
      </c>
      <c r="F337" s="426">
        <f>IF(E337&gt;0,E337/D337,IF(E337&lt;0,E337/D337,"Missing Data"))</f>
        <v>0.26575553639302246</v>
      </c>
      <c r="G337" s="427"/>
      <c r="H337" s="602"/>
      <c r="I337" s="603"/>
      <c r="J337" s="604"/>
    </row>
    <row r="338" spans="1:10" s="13" customFormat="1" ht="17" customHeight="1" x14ac:dyDescent="0.25">
      <c r="A338" s="23"/>
      <c r="B338" s="423"/>
      <c r="C338" s="32" t="str">
        <f t="shared" ref="C338:C339" si="24">B135</f>
        <v>2020-21</v>
      </c>
      <c r="D338" s="424">
        <f>2903376+203996</f>
        <v>3107372</v>
      </c>
      <c r="E338" s="425">
        <v>776947</v>
      </c>
      <c r="F338" s="426">
        <f t="shared" ref="F338:F342" si="25">IF(E338&gt;0,E338/D338,IF(E338&lt;0,E338/D338,"Missing Data"))</f>
        <v>0.2500334687961403</v>
      </c>
      <c r="G338" s="427"/>
      <c r="H338" s="605"/>
      <c r="I338" s="606"/>
      <c r="J338" s="607"/>
    </row>
    <row r="339" spans="1:10" s="13" customFormat="1" ht="17" customHeight="1" x14ac:dyDescent="0.25">
      <c r="A339" s="23"/>
      <c r="B339" s="423"/>
      <c r="C339" s="32" t="str">
        <f t="shared" si="24"/>
        <v>2021-22</v>
      </c>
      <c r="D339" s="543">
        <f>Data!B96+Data!B97+Data!B107+Data!B108</f>
        <v>3773338</v>
      </c>
      <c r="E339" s="544">
        <f>Data!B98+Data!B109</f>
        <v>934454</v>
      </c>
      <c r="F339" s="426">
        <f t="shared" si="25"/>
        <v>0.24764651351137906</v>
      </c>
      <c r="G339" s="427"/>
      <c r="H339" s="605"/>
      <c r="I339" s="606"/>
      <c r="J339" s="607"/>
    </row>
    <row r="340" spans="1:10" s="13" customFormat="1" ht="17" customHeight="1" x14ac:dyDescent="0.25">
      <c r="A340" s="23"/>
      <c r="B340" s="423"/>
      <c r="C340" s="37" t="str">
        <f>C320</f>
        <v>2022-23</v>
      </c>
      <c r="D340" s="545">
        <f>Data!C96+Data!C97+Data!C107+Data!C108</f>
        <v>4538245</v>
      </c>
      <c r="E340" s="546">
        <f>Data!C98+Data!C109</f>
        <v>1309762</v>
      </c>
      <c r="F340" s="426">
        <f t="shared" si="25"/>
        <v>0.28860539702021376</v>
      </c>
      <c r="G340" s="421" t="str">
        <f>IF($F$343="Insufficient History","Insufficient History",IF(F340&lt;$F$343-0.05,"Yes",IF(F340&gt;$F$343+0.05,"Yes","No")))</f>
        <v>No</v>
      </c>
      <c r="H340" s="605"/>
      <c r="I340" s="606"/>
      <c r="J340" s="607"/>
    </row>
    <row r="341" spans="1:10" s="13" customFormat="1" ht="17" customHeight="1" x14ac:dyDescent="0.25">
      <c r="A341" s="23"/>
      <c r="B341" s="423"/>
      <c r="C341" s="37" t="str">
        <f>C321</f>
        <v>2023-24</v>
      </c>
      <c r="D341" s="545">
        <f>Data!D96+Data!D97+Data!D107+Data!D108</f>
        <v>4991800.0000000009</v>
      </c>
      <c r="E341" s="546">
        <f>Data!D98+Data!D109</f>
        <v>1440738</v>
      </c>
      <c r="F341" s="426">
        <f t="shared" si="25"/>
        <v>0.2886209383388757</v>
      </c>
      <c r="G341" s="421" t="str">
        <f t="shared" ref="G341:G342" si="26">IF($F$343="Insufficient History","Insufficient History",IF(F341&lt;$F$343-0.05,"Yes",IF(F341&gt;$F$343+0.05,"Yes","No")))</f>
        <v>No</v>
      </c>
      <c r="H341" s="605"/>
      <c r="I341" s="606"/>
      <c r="J341" s="607"/>
    </row>
    <row r="342" spans="1:10" s="13" customFormat="1" ht="17" customHeight="1" thickBot="1" x14ac:dyDescent="0.3">
      <c r="A342" s="23"/>
      <c r="B342" s="423"/>
      <c r="C342" s="37" t="str">
        <f>C322</f>
        <v>2024-25</v>
      </c>
      <c r="D342" s="545">
        <f>Data!E96+Data!E97+Data!E107+Data!E108</f>
        <v>5491277</v>
      </c>
      <c r="E342" s="546">
        <f>Data!E98+Data!E109</f>
        <v>1584812</v>
      </c>
      <c r="F342" s="426">
        <f t="shared" si="25"/>
        <v>0.28860536447168844</v>
      </c>
      <c r="G342" s="421" t="str">
        <f t="shared" si="26"/>
        <v>No</v>
      </c>
      <c r="H342" s="605"/>
      <c r="I342" s="606"/>
      <c r="J342" s="607"/>
    </row>
    <row r="343" spans="1:10" s="13" customFormat="1" ht="34.5" customHeight="1" thickBot="1" x14ac:dyDescent="0.3">
      <c r="A343" s="23"/>
      <c r="B343" s="423"/>
      <c r="C343" s="608" t="s">
        <v>114</v>
      </c>
      <c r="D343" s="609"/>
      <c r="F343" s="542">
        <f>IF(F337="","Insufficient History",SUM(F337:F339)/3)</f>
        <v>0.25447850623351392</v>
      </c>
      <c r="G343" s="428"/>
      <c r="H343" s="605"/>
      <c r="I343" s="606"/>
      <c r="J343" s="607"/>
    </row>
    <row r="344" spans="1:10" ht="17" customHeight="1" x14ac:dyDescent="0.3">
      <c r="A344" s="11"/>
      <c r="B344" s="42"/>
      <c r="C344" s="141"/>
      <c r="D344" s="141"/>
      <c r="E344" s="141"/>
      <c r="F344" s="141"/>
      <c r="G344" s="141"/>
      <c r="H344" s="141"/>
    </row>
    <row r="345" spans="1:10" ht="17" customHeight="1" x14ac:dyDescent="0.3">
      <c r="A345" s="11"/>
      <c r="B345" s="11" t="s">
        <v>181</v>
      </c>
      <c r="C345" s="141"/>
      <c r="D345" s="141"/>
      <c r="E345" s="141"/>
      <c r="F345" s="141"/>
      <c r="G345" s="141"/>
      <c r="H345" s="141"/>
    </row>
    <row r="346" spans="1:10" ht="17" customHeight="1" x14ac:dyDescent="0.3">
      <c r="B346" s="11" t="s">
        <v>172</v>
      </c>
      <c r="C346" s="11"/>
      <c r="D346" s="11"/>
      <c r="E346" s="11"/>
      <c r="F346" s="11"/>
      <c r="G346" s="11"/>
      <c r="H346" s="1"/>
      <c r="I346" s="13"/>
      <c r="J346" s="4"/>
    </row>
    <row r="347" spans="1:10" ht="6" customHeight="1" x14ac:dyDescent="0.3">
      <c r="B347" s="449"/>
      <c r="C347" s="13"/>
      <c r="D347" s="450"/>
      <c r="E347" s="451"/>
      <c r="F347" s="449"/>
      <c r="G347" s="451"/>
      <c r="H347" s="447"/>
      <c r="I347" s="13"/>
      <c r="J347" s="4"/>
    </row>
    <row r="348" spans="1:10" ht="41" x14ac:dyDescent="0.3">
      <c r="B348" s="449"/>
      <c r="C348" s="13"/>
      <c r="D348" s="452" t="s">
        <v>168</v>
      </c>
      <c r="E348" s="453" t="s">
        <v>169</v>
      </c>
      <c r="F348" s="536" t="s">
        <v>170</v>
      </c>
      <c r="G348" s="454" t="s">
        <v>171</v>
      </c>
      <c r="H348" s="455" t="s">
        <v>162</v>
      </c>
      <c r="I348" s="4"/>
      <c r="J348" s="4"/>
    </row>
    <row r="349" spans="1:10" ht="17" customHeight="1" x14ac:dyDescent="0.3">
      <c r="B349" s="449"/>
      <c r="C349" s="37" t="str">
        <f>C320</f>
        <v>2022-23</v>
      </c>
      <c r="D349" s="456">
        <f>SUM(Data!C117:C120)</f>
        <v>68318.62999999999</v>
      </c>
      <c r="E349" s="457">
        <f>SUM(Data!C122:C124)</f>
        <v>279954.93</v>
      </c>
      <c r="F349" s="537">
        <f>D349+E349</f>
        <v>348273.56</v>
      </c>
      <c r="G349" s="457">
        <f>Data!C100</f>
        <v>3356019</v>
      </c>
      <c r="H349" s="456" t="str">
        <f>IF(G349-F349&gt;0,"No",G349-F349)</f>
        <v>No</v>
      </c>
      <c r="I349" s="4"/>
      <c r="J349" s="4"/>
    </row>
    <row r="350" spans="1:10" ht="17" customHeight="1" x14ac:dyDescent="0.3">
      <c r="B350" s="449"/>
      <c r="C350" s="37" t="str">
        <f>C321</f>
        <v>2023-24</v>
      </c>
      <c r="D350" s="458">
        <f>SUM(Data!D117:D120)</f>
        <v>70367.344880000004</v>
      </c>
      <c r="E350" s="415">
        <f>SUM(Data!D122:D124)</f>
        <v>318728.67</v>
      </c>
      <c r="F350" s="533">
        <f>D350+E350</f>
        <v>389096.01487999997</v>
      </c>
      <c r="G350" s="415">
        <f>Data!D100</f>
        <v>3709358.6</v>
      </c>
      <c r="H350" s="458" t="str">
        <f t="shared" ref="H350:H351" si="27">IF(G350-F350&gt;0,"No",G350-F350)</f>
        <v>No</v>
      </c>
      <c r="I350" s="4"/>
      <c r="J350" s="4"/>
    </row>
    <row r="351" spans="1:10" ht="15" x14ac:dyDescent="0.3">
      <c r="B351" s="449"/>
      <c r="C351" s="37" t="str">
        <f>C322</f>
        <v>2024-25</v>
      </c>
      <c r="D351" s="458">
        <f>SUM(Data!E117:E120)</f>
        <v>72478.712793836006</v>
      </c>
      <c r="E351" s="415">
        <f>SUM(Data!E122:E124)</f>
        <v>363374.33999999997</v>
      </c>
      <c r="F351" s="533">
        <f>D351+E351</f>
        <v>435853.05279383599</v>
      </c>
      <c r="G351" s="415">
        <f>Data!E100</f>
        <v>4168294.26</v>
      </c>
      <c r="H351" s="458" t="str">
        <f t="shared" si="27"/>
        <v>No</v>
      </c>
      <c r="I351" s="4"/>
      <c r="J351" s="4"/>
    </row>
    <row r="352" spans="1:10" ht="13.5" customHeight="1" thickBot="1" x14ac:dyDescent="0.35">
      <c r="B352" s="449"/>
      <c r="C352" s="447"/>
      <c r="D352" s="450"/>
      <c r="E352" s="459" t="str">
        <f>IF(D352="yes","Amount?","")</f>
        <v/>
      </c>
      <c r="F352" s="460"/>
      <c r="G352" s="451"/>
      <c r="H352" s="447" t="str">
        <f>IF(D352="yes","Included in MYP?","")</f>
        <v/>
      </c>
      <c r="I352" s="13"/>
      <c r="J352" s="4"/>
    </row>
    <row r="353" spans="1:122" ht="17" customHeight="1" thickBot="1" x14ac:dyDescent="0.35">
      <c r="B353" s="585" t="s">
        <v>218</v>
      </c>
      <c r="C353" s="586"/>
      <c r="D353" s="586"/>
      <c r="E353" s="586"/>
      <c r="F353" s="586"/>
      <c r="G353" s="586"/>
      <c r="H353" s="586"/>
      <c r="I353" s="587"/>
      <c r="J353" s="4"/>
    </row>
    <row r="354" spans="1:122" ht="71.25" customHeight="1" x14ac:dyDescent="0.3">
      <c r="B354" s="574"/>
      <c r="C354" s="575"/>
      <c r="D354" s="575"/>
      <c r="E354" s="575"/>
      <c r="F354" s="575"/>
      <c r="G354" s="575"/>
      <c r="H354" s="575"/>
      <c r="I354" s="576"/>
      <c r="J354" s="4"/>
    </row>
    <row r="355" spans="1:122" ht="17" customHeight="1" x14ac:dyDescent="0.3">
      <c r="J355" s="4"/>
    </row>
    <row r="356" spans="1:122" s="64" customFormat="1" ht="19.5" customHeight="1" x14ac:dyDescent="0.25">
      <c r="A356" s="281" t="s">
        <v>89</v>
      </c>
      <c r="B356" s="282"/>
      <c r="C356" s="282"/>
      <c r="D356" s="283"/>
      <c r="E356" s="283"/>
      <c r="F356" s="284"/>
      <c r="G356" s="282" t="s">
        <v>24</v>
      </c>
      <c r="H356" s="282"/>
      <c r="I356" s="282"/>
      <c r="J356" s="282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6"/>
      <c r="BN356" s="216"/>
      <c r="BO356" s="216"/>
      <c r="BP356" s="216"/>
      <c r="BQ356" s="216"/>
      <c r="BR356" s="216"/>
      <c r="BS356" s="216"/>
      <c r="BT356" s="216"/>
      <c r="BU356" s="216"/>
      <c r="BV356" s="216"/>
      <c r="BW356" s="216"/>
      <c r="BX356" s="216"/>
      <c r="BY356" s="216"/>
      <c r="BZ356" s="216"/>
      <c r="CA356" s="216"/>
      <c r="CB356" s="216"/>
      <c r="CC356" s="216"/>
      <c r="CD356" s="216"/>
      <c r="CE356" s="216"/>
      <c r="CF356" s="216"/>
      <c r="CG356" s="216"/>
      <c r="CH356" s="216"/>
      <c r="CI356" s="216"/>
      <c r="CJ356" s="216"/>
      <c r="CK356" s="216"/>
      <c r="CL356" s="216"/>
      <c r="CM356" s="216"/>
      <c r="CN356" s="216"/>
      <c r="CO356" s="216"/>
      <c r="CP356" s="216"/>
      <c r="CQ356" s="216"/>
      <c r="CR356" s="216"/>
      <c r="CS356" s="216"/>
      <c r="CT356" s="216"/>
      <c r="CU356" s="216"/>
      <c r="CV356" s="216"/>
      <c r="CW356" s="216"/>
      <c r="CX356" s="216"/>
      <c r="CY356" s="216"/>
      <c r="CZ356" s="216"/>
      <c r="DA356" s="216"/>
      <c r="DB356" s="216"/>
      <c r="DC356" s="216"/>
      <c r="DD356" s="216"/>
      <c r="DE356" s="216"/>
      <c r="DF356" s="216"/>
      <c r="DG356" s="216"/>
      <c r="DH356" s="216"/>
      <c r="DI356" s="216"/>
      <c r="DJ356" s="216"/>
      <c r="DK356" s="216"/>
      <c r="DL356" s="216"/>
      <c r="DM356" s="216"/>
      <c r="DN356" s="216"/>
      <c r="DO356" s="216"/>
      <c r="DP356" s="216"/>
      <c r="DQ356" s="216"/>
      <c r="DR356" s="216"/>
    </row>
    <row r="357" spans="1:122" s="22" customFormat="1" ht="7.5" customHeight="1" x14ac:dyDescent="0.3">
      <c r="A357" s="177"/>
      <c r="B357" s="178"/>
      <c r="C357" s="8"/>
      <c r="D357" s="221"/>
      <c r="E357" s="221"/>
      <c r="F357" s="177"/>
      <c r="G357" s="167"/>
      <c r="H357" s="167"/>
      <c r="I357" s="167"/>
      <c r="J357" s="167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  <c r="AK357" s="221"/>
      <c r="AL357" s="221"/>
      <c r="AM357" s="221"/>
      <c r="AN357" s="221"/>
      <c r="AO357" s="221"/>
      <c r="AP357" s="221"/>
      <c r="AQ357" s="221"/>
      <c r="AR357" s="221"/>
      <c r="AS357" s="221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1"/>
      <c r="BD357" s="221"/>
      <c r="BE357" s="221"/>
      <c r="BF357" s="221"/>
      <c r="BG357" s="221"/>
      <c r="BH357" s="221"/>
      <c r="BI357" s="221"/>
      <c r="BJ357" s="221"/>
      <c r="BK357" s="221"/>
      <c r="BL357" s="221"/>
      <c r="BM357" s="221"/>
      <c r="BN357" s="221"/>
      <c r="BO357" s="221"/>
      <c r="BP357" s="221"/>
      <c r="BQ357" s="221"/>
      <c r="BR357" s="221"/>
      <c r="BS357" s="221"/>
      <c r="BT357" s="221"/>
      <c r="BU357" s="221"/>
      <c r="BV357" s="221"/>
      <c r="BW357" s="221"/>
      <c r="BX357" s="221"/>
      <c r="BY357" s="221"/>
      <c r="BZ357" s="221"/>
      <c r="CA357" s="221"/>
      <c r="CB357" s="221"/>
      <c r="CC357" s="221"/>
      <c r="CD357" s="221"/>
      <c r="CE357" s="221"/>
      <c r="CF357" s="221"/>
      <c r="CG357" s="221"/>
      <c r="CH357" s="221"/>
      <c r="CI357" s="221"/>
      <c r="CJ357" s="221"/>
      <c r="CK357" s="221"/>
      <c r="CL357" s="221"/>
      <c r="CM357" s="221"/>
      <c r="CN357" s="221"/>
      <c r="CO357" s="221"/>
      <c r="CP357" s="221"/>
      <c r="CQ357" s="221"/>
      <c r="CR357" s="221"/>
      <c r="CS357" s="221"/>
      <c r="CT357" s="221"/>
      <c r="CU357" s="221"/>
      <c r="CV357" s="221"/>
      <c r="CW357" s="221"/>
      <c r="CX357" s="221"/>
      <c r="CY357" s="221"/>
      <c r="CZ357" s="221"/>
      <c r="DA357" s="221"/>
      <c r="DB357" s="221"/>
      <c r="DC357" s="221"/>
      <c r="DD357" s="221"/>
      <c r="DE357" s="221"/>
      <c r="DF357" s="221"/>
      <c r="DG357" s="221"/>
      <c r="DH357" s="221"/>
      <c r="DI357" s="221"/>
      <c r="DJ357" s="221"/>
      <c r="DK357" s="221"/>
      <c r="DL357" s="221"/>
      <c r="DM357" s="221"/>
      <c r="DN357" s="221"/>
      <c r="DO357" s="221"/>
      <c r="DP357" s="221"/>
      <c r="DQ357" s="221"/>
      <c r="DR357" s="221"/>
    </row>
    <row r="358" spans="1:122" s="22" customFormat="1" ht="17" customHeight="1" x14ac:dyDescent="0.3">
      <c r="A358" s="177"/>
      <c r="B358" s="292" t="s">
        <v>206</v>
      </c>
      <c r="C358" s="8"/>
      <c r="D358" s="221"/>
      <c r="E358" s="221"/>
      <c r="F358" s="177"/>
      <c r="G358" s="167"/>
      <c r="H358" s="221"/>
      <c r="I358" s="368" t="str">
        <f>IF((E376+G376+I376)&gt;0,"Yes",IF((E373+G373+I373)&gt;0,"Yes","No"))</f>
        <v>Yes</v>
      </c>
      <c r="J358" s="167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1"/>
      <c r="AH358" s="221"/>
      <c r="AI358" s="221"/>
      <c r="AJ358" s="221"/>
      <c r="AK358" s="221"/>
      <c r="AL358" s="221"/>
      <c r="AM358" s="221"/>
      <c r="AN358" s="221"/>
      <c r="AO358" s="221"/>
      <c r="AP358" s="221"/>
      <c r="AQ358" s="221"/>
      <c r="AR358" s="221"/>
      <c r="AS358" s="221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1"/>
      <c r="BD358" s="221"/>
      <c r="BE358" s="221"/>
      <c r="BF358" s="221"/>
      <c r="BG358" s="221"/>
      <c r="BH358" s="221"/>
      <c r="BI358" s="221"/>
      <c r="BJ358" s="221"/>
      <c r="BK358" s="221"/>
      <c r="BL358" s="221"/>
      <c r="BM358" s="221"/>
      <c r="BN358" s="221"/>
      <c r="BO358" s="221"/>
      <c r="BP358" s="221"/>
      <c r="BQ358" s="221"/>
      <c r="BR358" s="221"/>
      <c r="BS358" s="221"/>
      <c r="BT358" s="221"/>
      <c r="BU358" s="221"/>
      <c r="BV358" s="221"/>
      <c r="BW358" s="221"/>
      <c r="BX358" s="221"/>
      <c r="BY358" s="221"/>
      <c r="BZ358" s="221"/>
      <c r="CA358" s="221"/>
      <c r="CB358" s="221"/>
      <c r="CC358" s="221"/>
      <c r="CD358" s="221"/>
      <c r="CE358" s="221"/>
      <c r="CF358" s="221"/>
      <c r="CG358" s="221"/>
      <c r="CH358" s="221"/>
      <c r="CI358" s="221"/>
      <c r="CJ358" s="221"/>
      <c r="CK358" s="221"/>
      <c r="CL358" s="221"/>
      <c r="CM358" s="221"/>
      <c r="CN358" s="221"/>
      <c r="CO358" s="221"/>
      <c r="CP358" s="221"/>
      <c r="CQ358" s="221"/>
      <c r="CR358" s="221"/>
      <c r="CS358" s="221"/>
      <c r="CT358" s="221"/>
      <c r="CU358" s="221"/>
      <c r="CV358" s="221"/>
      <c r="CW358" s="221"/>
      <c r="CX358" s="221"/>
      <c r="CY358" s="221"/>
      <c r="CZ358" s="221"/>
      <c r="DA358" s="221"/>
      <c r="DB358" s="221"/>
      <c r="DC358" s="221"/>
      <c r="DD358" s="221"/>
      <c r="DE358" s="221"/>
      <c r="DF358" s="221"/>
      <c r="DG358" s="221"/>
      <c r="DH358" s="221"/>
      <c r="DI358" s="221"/>
      <c r="DJ358" s="221"/>
      <c r="DK358" s="221"/>
      <c r="DL358" s="221"/>
      <c r="DM358" s="221"/>
      <c r="DN358" s="221"/>
      <c r="DO358" s="221"/>
      <c r="DP358" s="221"/>
      <c r="DQ358" s="221"/>
      <c r="DR358" s="221"/>
    </row>
    <row r="359" spans="1:122" s="22" customFormat="1" ht="17" customHeight="1" x14ac:dyDescent="0.3">
      <c r="A359" s="177"/>
      <c r="B359" s="178"/>
      <c r="C359" s="8" t="s">
        <v>198</v>
      </c>
      <c r="D359" s="221"/>
      <c r="E359" s="221"/>
      <c r="F359" s="177"/>
      <c r="G359" s="167"/>
      <c r="H359" s="167"/>
      <c r="I359" s="167"/>
      <c r="J359" s="167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  <c r="AK359" s="221"/>
      <c r="AL359" s="221"/>
      <c r="AM359" s="221"/>
      <c r="AN359" s="221"/>
      <c r="AO359" s="221"/>
      <c r="AP359" s="221"/>
      <c r="AQ359" s="221"/>
      <c r="AR359" s="221"/>
      <c r="AS359" s="221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1"/>
      <c r="BD359" s="221"/>
      <c r="BE359" s="221"/>
      <c r="BF359" s="221"/>
      <c r="BG359" s="221"/>
      <c r="BH359" s="221"/>
      <c r="BI359" s="221"/>
      <c r="BJ359" s="221"/>
      <c r="BK359" s="221"/>
      <c r="BL359" s="221"/>
      <c r="BM359" s="221"/>
      <c r="BN359" s="221"/>
      <c r="BO359" s="221"/>
      <c r="BP359" s="221"/>
      <c r="BQ359" s="221"/>
      <c r="BR359" s="221"/>
      <c r="BS359" s="221"/>
      <c r="BT359" s="221"/>
      <c r="BU359" s="221"/>
      <c r="BV359" s="221"/>
      <c r="BW359" s="221"/>
      <c r="BX359" s="221"/>
      <c r="BY359" s="221"/>
      <c r="BZ359" s="221"/>
      <c r="CA359" s="221"/>
      <c r="CB359" s="221"/>
      <c r="CC359" s="221"/>
      <c r="CD359" s="221"/>
      <c r="CE359" s="221"/>
      <c r="CF359" s="221"/>
      <c r="CG359" s="221"/>
      <c r="CH359" s="221"/>
      <c r="CI359" s="221"/>
      <c r="CJ359" s="221"/>
      <c r="CK359" s="221"/>
      <c r="CL359" s="221"/>
      <c r="CM359" s="221"/>
      <c r="CN359" s="221"/>
      <c r="CO359" s="221"/>
      <c r="CP359" s="221"/>
      <c r="CQ359" s="221"/>
      <c r="CR359" s="221"/>
      <c r="CS359" s="221"/>
      <c r="CT359" s="221"/>
      <c r="CU359" s="221"/>
      <c r="CV359" s="221"/>
      <c r="CW359" s="221"/>
      <c r="CX359" s="221"/>
      <c r="CY359" s="221"/>
      <c r="CZ359" s="221"/>
      <c r="DA359" s="221"/>
      <c r="DB359" s="221"/>
      <c r="DC359" s="221"/>
      <c r="DD359" s="221"/>
      <c r="DE359" s="221"/>
      <c r="DF359" s="221"/>
      <c r="DG359" s="221"/>
      <c r="DH359" s="221"/>
      <c r="DI359" s="221"/>
      <c r="DJ359" s="221"/>
      <c r="DK359" s="221"/>
      <c r="DL359" s="221"/>
      <c r="DM359" s="221"/>
      <c r="DN359" s="221"/>
      <c r="DO359" s="221"/>
      <c r="DP359" s="221"/>
      <c r="DQ359" s="221"/>
      <c r="DR359" s="221"/>
    </row>
    <row r="360" spans="1:122" s="22" customFormat="1" ht="17" customHeight="1" x14ac:dyDescent="0.3">
      <c r="A360" s="177"/>
      <c r="B360" s="178"/>
      <c r="C360" s="8"/>
      <c r="D360" s="613" t="str">
        <f>C349</f>
        <v>2022-23</v>
      </c>
      <c r="E360" s="614"/>
      <c r="F360" s="613" t="str">
        <f>C350</f>
        <v>2023-24</v>
      </c>
      <c r="G360" s="614"/>
      <c r="H360" s="613" t="str">
        <f>C351</f>
        <v>2024-25</v>
      </c>
      <c r="I360" s="614"/>
      <c r="J360" s="167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1"/>
      <c r="AH360" s="221"/>
      <c r="AI360" s="221"/>
      <c r="AJ360" s="221"/>
      <c r="AK360" s="221"/>
      <c r="AL360" s="221"/>
      <c r="AM360" s="221"/>
      <c r="AN360" s="221"/>
      <c r="AO360" s="221"/>
      <c r="AP360" s="221"/>
      <c r="AQ360" s="221"/>
      <c r="AR360" s="221"/>
      <c r="AS360" s="221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1"/>
      <c r="BD360" s="221"/>
      <c r="BE360" s="221"/>
      <c r="BF360" s="221"/>
      <c r="BG360" s="221"/>
      <c r="BH360" s="221"/>
      <c r="BI360" s="221"/>
      <c r="BJ360" s="221"/>
      <c r="BK360" s="221"/>
      <c r="BL360" s="221"/>
      <c r="BM360" s="221"/>
      <c r="BN360" s="221"/>
      <c r="BO360" s="221"/>
      <c r="BP360" s="221"/>
      <c r="BQ360" s="221"/>
      <c r="BR360" s="221"/>
      <c r="BS360" s="221"/>
      <c r="BT360" s="221"/>
      <c r="BU360" s="221"/>
      <c r="BV360" s="221"/>
      <c r="BW360" s="221"/>
      <c r="BX360" s="221"/>
      <c r="BY360" s="221"/>
      <c r="BZ360" s="221"/>
      <c r="CA360" s="221"/>
      <c r="CB360" s="221"/>
      <c r="CC360" s="221"/>
      <c r="CD360" s="221"/>
      <c r="CE360" s="221"/>
      <c r="CF360" s="221"/>
      <c r="CG360" s="221"/>
      <c r="CH360" s="221"/>
      <c r="CI360" s="221"/>
      <c r="CJ360" s="221"/>
      <c r="CK360" s="221"/>
      <c r="CL360" s="221"/>
      <c r="CM360" s="221"/>
      <c r="CN360" s="221"/>
      <c r="CO360" s="221"/>
      <c r="CP360" s="221"/>
      <c r="CQ360" s="221"/>
      <c r="CR360" s="221"/>
      <c r="CS360" s="221"/>
      <c r="CT360" s="221"/>
      <c r="CU360" s="221"/>
      <c r="CV360" s="221"/>
      <c r="CW360" s="221"/>
      <c r="CX360" s="221"/>
      <c r="CY360" s="221"/>
      <c r="CZ360" s="221"/>
      <c r="DA360" s="221"/>
      <c r="DB360" s="221"/>
      <c r="DC360" s="221"/>
      <c r="DD360" s="221"/>
      <c r="DE360" s="221"/>
      <c r="DF360" s="221"/>
      <c r="DG360" s="221"/>
      <c r="DH360" s="221"/>
      <c r="DI360" s="221"/>
      <c r="DJ360" s="221"/>
      <c r="DK360" s="221"/>
      <c r="DL360" s="221"/>
      <c r="DM360" s="221"/>
      <c r="DN360" s="221"/>
      <c r="DO360" s="221"/>
      <c r="DP360" s="221"/>
      <c r="DQ360" s="221"/>
      <c r="DR360" s="221"/>
    </row>
    <row r="361" spans="1:122" s="22" customFormat="1" ht="17" customHeight="1" x14ac:dyDescent="0.3">
      <c r="A361" s="177"/>
      <c r="B361" s="178"/>
      <c r="C361" s="8"/>
      <c r="D361" s="369" t="s">
        <v>196</v>
      </c>
      <c r="E361" s="369" t="s">
        <v>197</v>
      </c>
      <c r="F361" s="369" t="s">
        <v>196</v>
      </c>
      <c r="G361" s="369" t="s">
        <v>197</v>
      </c>
      <c r="H361" s="369" t="s">
        <v>196</v>
      </c>
      <c r="I361" s="369" t="s">
        <v>197</v>
      </c>
      <c r="J361" s="167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1"/>
      <c r="AH361" s="221"/>
      <c r="AI361" s="221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1"/>
      <c r="CO361" s="221"/>
      <c r="CP361" s="221"/>
      <c r="CQ361" s="221"/>
      <c r="CR361" s="221"/>
      <c r="CS361" s="221"/>
      <c r="CT361" s="221"/>
      <c r="CU361" s="221"/>
      <c r="CV361" s="221"/>
      <c r="CW361" s="221"/>
      <c r="CX361" s="221"/>
      <c r="CY361" s="221"/>
      <c r="CZ361" s="221"/>
      <c r="DA361" s="221"/>
      <c r="DB361" s="221"/>
      <c r="DC361" s="221"/>
      <c r="DD361" s="221"/>
      <c r="DE361" s="221"/>
      <c r="DF361" s="221"/>
      <c r="DG361" s="221"/>
      <c r="DH361" s="221"/>
      <c r="DI361" s="221"/>
      <c r="DJ361" s="221"/>
      <c r="DK361" s="221"/>
      <c r="DL361" s="221"/>
      <c r="DM361" s="221"/>
      <c r="DN361" s="221"/>
      <c r="DO361" s="221"/>
      <c r="DP361" s="221"/>
      <c r="DQ361" s="221"/>
      <c r="DR361" s="221"/>
    </row>
    <row r="362" spans="1:122" s="22" customFormat="1" ht="17" customHeight="1" x14ac:dyDescent="0.3">
      <c r="A362" s="177"/>
      <c r="B362" s="370" t="str">
        <f>T(Data!A126)</f>
        <v>Debt</v>
      </c>
      <c r="C362" s="8"/>
      <c r="D362" s="367">
        <f>Data!C127</f>
        <v>0</v>
      </c>
      <c r="E362" s="113"/>
      <c r="F362" s="367">
        <f>Data!D127</f>
        <v>0</v>
      </c>
      <c r="G362" s="113"/>
      <c r="H362" s="367">
        <f>Data!E127</f>
        <v>0</v>
      </c>
      <c r="I362" s="113"/>
      <c r="J362" s="167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1"/>
      <c r="AH362" s="221"/>
      <c r="AI362" s="221"/>
      <c r="AJ362" s="221"/>
      <c r="AK362" s="221"/>
      <c r="AL362" s="221"/>
      <c r="AM362" s="221"/>
      <c r="AN362" s="221"/>
      <c r="AO362" s="221"/>
      <c r="AP362" s="221"/>
      <c r="AQ362" s="221"/>
      <c r="AR362" s="221"/>
      <c r="AS362" s="221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1"/>
      <c r="BD362" s="221"/>
      <c r="BE362" s="221"/>
      <c r="BF362" s="221"/>
      <c r="BG362" s="221"/>
      <c r="BH362" s="221"/>
      <c r="BI362" s="221"/>
      <c r="BJ362" s="221"/>
      <c r="BK362" s="221"/>
      <c r="BL362" s="221"/>
      <c r="BM362" s="221"/>
      <c r="BN362" s="221"/>
      <c r="BO362" s="221"/>
      <c r="BP362" s="221"/>
      <c r="BQ362" s="221"/>
      <c r="BR362" s="221"/>
      <c r="BS362" s="221"/>
      <c r="BT362" s="221"/>
      <c r="BU362" s="221"/>
      <c r="BV362" s="221"/>
      <c r="BW362" s="221"/>
      <c r="BX362" s="221"/>
      <c r="BY362" s="221"/>
      <c r="BZ362" s="221"/>
      <c r="CA362" s="221"/>
      <c r="CB362" s="221"/>
      <c r="CC362" s="221"/>
      <c r="CD362" s="221"/>
      <c r="CE362" s="221"/>
      <c r="CF362" s="221"/>
      <c r="CG362" s="221"/>
      <c r="CH362" s="221"/>
      <c r="CI362" s="221"/>
      <c r="CJ362" s="221"/>
      <c r="CK362" s="221"/>
      <c r="CL362" s="221"/>
      <c r="CM362" s="221"/>
      <c r="CN362" s="221"/>
      <c r="CO362" s="221"/>
      <c r="CP362" s="221"/>
      <c r="CQ362" s="221"/>
      <c r="CR362" s="221"/>
      <c r="CS362" s="221"/>
      <c r="CT362" s="221"/>
      <c r="CU362" s="221"/>
      <c r="CV362" s="221"/>
      <c r="CW362" s="221"/>
      <c r="CX362" s="221"/>
      <c r="CY362" s="221"/>
      <c r="CZ362" s="221"/>
      <c r="DA362" s="221"/>
      <c r="DB362" s="221"/>
      <c r="DC362" s="221"/>
      <c r="DD362" s="221"/>
      <c r="DE362" s="221"/>
      <c r="DF362" s="221"/>
      <c r="DG362" s="221"/>
      <c r="DH362" s="221"/>
      <c r="DI362" s="221"/>
      <c r="DJ362" s="221"/>
      <c r="DK362" s="221"/>
      <c r="DL362" s="221"/>
      <c r="DM362" s="221"/>
      <c r="DN362" s="221"/>
      <c r="DO362" s="221"/>
      <c r="DP362" s="221"/>
      <c r="DQ362" s="221"/>
      <c r="DR362" s="221"/>
    </row>
    <row r="363" spans="1:122" s="22" customFormat="1" ht="17" customHeight="1" x14ac:dyDescent="0.3">
      <c r="A363" s="177"/>
      <c r="B363" s="370" t="str">
        <f>T(Data!A127)</f>
        <v>State School Building Loans</v>
      </c>
      <c r="C363" s="8"/>
      <c r="D363" s="367">
        <f>Data!C128</f>
        <v>63608</v>
      </c>
      <c r="E363" s="113">
        <f>D363</f>
        <v>63608</v>
      </c>
      <c r="F363" s="367">
        <f>Data!D128</f>
        <v>0</v>
      </c>
      <c r="G363" s="113"/>
      <c r="H363" s="367">
        <f>Data!E128</f>
        <v>0</v>
      </c>
      <c r="I363" s="113"/>
      <c r="J363" s="167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1"/>
      <c r="AH363" s="221"/>
      <c r="AI363" s="221"/>
      <c r="AJ363" s="221"/>
      <c r="AK363" s="221"/>
      <c r="AL363" s="221"/>
      <c r="AM363" s="221"/>
      <c r="AN363" s="221"/>
      <c r="AO363" s="221"/>
      <c r="AP363" s="221"/>
      <c r="AQ363" s="221"/>
      <c r="AR363" s="221"/>
      <c r="AS363" s="221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1"/>
      <c r="BD363" s="221"/>
      <c r="BE363" s="221"/>
      <c r="BF363" s="221"/>
      <c r="BG363" s="221"/>
      <c r="BH363" s="221"/>
      <c r="BI363" s="221"/>
      <c r="BJ363" s="221"/>
      <c r="BK363" s="221"/>
      <c r="BL363" s="221"/>
      <c r="BM363" s="221"/>
      <c r="BN363" s="221"/>
      <c r="BO363" s="221"/>
      <c r="BP363" s="221"/>
      <c r="BQ363" s="221"/>
      <c r="BR363" s="221"/>
      <c r="BS363" s="221"/>
      <c r="BT363" s="221"/>
      <c r="BU363" s="221"/>
      <c r="BV363" s="221"/>
      <c r="BW363" s="221"/>
      <c r="BX363" s="221"/>
      <c r="BY363" s="221"/>
      <c r="BZ363" s="221"/>
      <c r="CA363" s="221"/>
      <c r="CB363" s="221"/>
      <c r="CC363" s="221"/>
      <c r="CD363" s="221"/>
      <c r="CE363" s="221"/>
      <c r="CF363" s="221"/>
      <c r="CG363" s="221"/>
      <c r="CH363" s="221"/>
      <c r="CI363" s="221"/>
      <c r="CJ363" s="221"/>
      <c r="CK363" s="221"/>
      <c r="CL363" s="221"/>
      <c r="CM363" s="221"/>
      <c r="CN363" s="221"/>
      <c r="CO363" s="221"/>
      <c r="CP363" s="221"/>
      <c r="CQ363" s="221"/>
      <c r="CR363" s="221"/>
      <c r="CS363" s="221"/>
      <c r="CT363" s="221"/>
      <c r="CU363" s="221"/>
      <c r="CV363" s="221"/>
      <c r="CW363" s="221"/>
      <c r="CX363" s="221"/>
      <c r="CY363" s="221"/>
      <c r="CZ363" s="221"/>
      <c r="DA363" s="221"/>
      <c r="DB363" s="221"/>
      <c r="DC363" s="221"/>
      <c r="DD363" s="221"/>
      <c r="DE363" s="221"/>
      <c r="DF363" s="221"/>
      <c r="DG363" s="221"/>
      <c r="DH363" s="221"/>
      <c r="DI363" s="221"/>
      <c r="DJ363" s="221"/>
      <c r="DK363" s="221"/>
      <c r="DL363" s="221"/>
      <c r="DM363" s="221"/>
      <c r="DN363" s="221"/>
      <c r="DO363" s="221"/>
      <c r="DP363" s="221"/>
      <c r="DQ363" s="221"/>
      <c r="DR363" s="221"/>
    </row>
    <row r="364" spans="1:122" s="22" customFormat="1" ht="17" customHeight="1" x14ac:dyDescent="0.3">
      <c r="A364" s="177"/>
      <c r="B364" s="370" t="str">
        <f>T(Data!A128)</f>
        <v>Charter School Start-up Loans</v>
      </c>
      <c r="C364" s="8"/>
      <c r="D364" s="367">
        <f>Data!C129</f>
        <v>0</v>
      </c>
      <c r="E364" s="113"/>
      <c r="F364" s="367">
        <f>Data!D129</f>
        <v>0</v>
      </c>
      <c r="G364" s="113"/>
      <c r="H364" s="367">
        <f>Data!E129</f>
        <v>0</v>
      </c>
      <c r="I364" s="113"/>
      <c r="J364" s="167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1"/>
      <c r="AH364" s="221"/>
      <c r="AI364" s="221"/>
      <c r="AJ364" s="221"/>
      <c r="AK364" s="221"/>
      <c r="AL364" s="221"/>
      <c r="AM364" s="221"/>
      <c r="AN364" s="221"/>
      <c r="AO364" s="221"/>
      <c r="AP364" s="221"/>
      <c r="AQ364" s="221"/>
      <c r="AR364" s="221"/>
      <c r="AS364" s="221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1"/>
      <c r="BD364" s="221"/>
      <c r="BE364" s="221"/>
      <c r="BF364" s="221"/>
      <c r="BG364" s="221"/>
      <c r="BH364" s="221"/>
      <c r="BI364" s="221"/>
      <c r="BJ364" s="221"/>
      <c r="BK364" s="221"/>
      <c r="BL364" s="221"/>
      <c r="BM364" s="221"/>
      <c r="BN364" s="221"/>
      <c r="BO364" s="221"/>
      <c r="BP364" s="221"/>
      <c r="BQ364" s="221"/>
      <c r="BR364" s="221"/>
      <c r="BS364" s="221"/>
      <c r="BT364" s="221"/>
      <c r="BU364" s="221"/>
      <c r="BV364" s="221"/>
      <c r="BW364" s="221"/>
      <c r="BX364" s="221"/>
      <c r="BY364" s="221"/>
      <c r="BZ364" s="221"/>
      <c r="CA364" s="221"/>
      <c r="CB364" s="221"/>
      <c r="CC364" s="221"/>
      <c r="CD364" s="221"/>
      <c r="CE364" s="221"/>
      <c r="CF364" s="221"/>
      <c r="CG364" s="221"/>
      <c r="CH364" s="221"/>
      <c r="CI364" s="221"/>
      <c r="CJ364" s="221"/>
      <c r="CK364" s="221"/>
      <c r="CL364" s="221"/>
      <c r="CM364" s="221"/>
      <c r="CN364" s="221"/>
      <c r="CO364" s="221"/>
      <c r="CP364" s="221"/>
      <c r="CQ364" s="221"/>
      <c r="CR364" s="221"/>
      <c r="CS364" s="221"/>
      <c r="CT364" s="221"/>
      <c r="CU364" s="221"/>
      <c r="CV364" s="221"/>
      <c r="CW364" s="221"/>
      <c r="CX364" s="221"/>
      <c r="CY364" s="221"/>
      <c r="CZ364" s="221"/>
      <c r="DA364" s="221"/>
      <c r="DB364" s="221"/>
      <c r="DC364" s="221"/>
      <c r="DD364" s="221"/>
      <c r="DE364" s="221"/>
      <c r="DF364" s="221"/>
      <c r="DG364" s="221"/>
      <c r="DH364" s="221"/>
      <c r="DI364" s="221"/>
      <c r="DJ364" s="221"/>
      <c r="DK364" s="221"/>
      <c r="DL364" s="221"/>
      <c r="DM364" s="221"/>
      <c r="DN364" s="221"/>
      <c r="DO364" s="221"/>
      <c r="DP364" s="221"/>
      <c r="DQ364" s="221"/>
      <c r="DR364" s="221"/>
    </row>
    <row r="365" spans="1:122" s="22" customFormat="1" ht="17" customHeight="1" x14ac:dyDescent="0.3">
      <c r="A365" s="177"/>
      <c r="B365" s="370" t="str">
        <f>T(Data!A129)</f>
        <v>Other Post Employment Benefits</v>
      </c>
      <c r="C365" s="8"/>
      <c r="D365" s="367">
        <f>Data!C130</f>
        <v>0</v>
      </c>
      <c r="E365" s="113"/>
      <c r="F365" s="367">
        <f>Data!D130</f>
        <v>0</v>
      </c>
      <c r="G365" s="113"/>
      <c r="H365" s="367">
        <f>Data!E130</f>
        <v>0</v>
      </c>
      <c r="I365" s="113"/>
      <c r="J365" s="167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  <c r="AL365" s="221"/>
      <c r="AM365" s="221"/>
      <c r="AN365" s="221"/>
      <c r="AO365" s="221"/>
      <c r="AP365" s="221"/>
      <c r="AQ365" s="221"/>
      <c r="AR365" s="221"/>
      <c r="AS365" s="221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1"/>
      <c r="BD365" s="221"/>
      <c r="BE365" s="221"/>
      <c r="BF365" s="221"/>
      <c r="BG365" s="221"/>
      <c r="BH365" s="221"/>
      <c r="BI365" s="221"/>
      <c r="BJ365" s="221"/>
      <c r="BK365" s="221"/>
      <c r="BL365" s="221"/>
      <c r="BM365" s="221"/>
      <c r="BN365" s="221"/>
      <c r="BO365" s="221"/>
      <c r="BP365" s="221"/>
      <c r="BQ365" s="221"/>
      <c r="BR365" s="221"/>
      <c r="BS365" s="221"/>
      <c r="BT365" s="221"/>
      <c r="BU365" s="221"/>
      <c r="BV365" s="221"/>
      <c r="BW365" s="221"/>
      <c r="BX365" s="221"/>
      <c r="BY365" s="221"/>
      <c r="BZ365" s="221"/>
      <c r="CA365" s="221"/>
      <c r="CB365" s="221"/>
      <c r="CC365" s="221"/>
      <c r="CD365" s="221"/>
      <c r="CE365" s="221"/>
      <c r="CF365" s="221"/>
      <c r="CG365" s="221"/>
      <c r="CH365" s="221"/>
      <c r="CI365" s="221"/>
      <c r="CJ365" s="221"/>
      <c r="CK365" s="221"/>
      <c r="CL365" s="221"/>
      <c r="CM365" s="221"/>
      <c r="CN365" s="221"/>
      <c r="CO365" s="221"/>
      <c r="CP365" s="221"/>
      <c r="CQ365" s="221"/>
      <c r="CR365" s="221"/>
      <c r="CS365" s="221"/>
      <c r="CT365" s="221"/>
      <c r="CU365" s="221"/>
      <c r="CV365" s="221"/>
      <c r="CW365" s="221"/>
      <c r="CX365" s="221"/>
      <c r="CY365" s="221"/>
      <c r="CZ365" s="221"/>
      <c r="DA365" s="221"/>
      <c r="DB365" s="221"/>
      <c r="DC365" s="221"/>
      <c r="DD365" s="221"/>
      <c r="DE365" s="221"/>
      <c r="DF365" s="221"/>
      <c r="DG365" s="221"/>
      <c r="DH365" s="221"/>
      <c r="DI365" s="221"/>
      <c r="DJ365" s="221"/>
      <c r="DK365" s="221"/>
      <c r="DL365" s="221"/>
      <c r="DM365" s="221"/>
      <c r="DN365" s="221"/>
      <c r="DO365" s="221"/>
      <c r="DP365" s="221"/>
      <c r="DQ365" s="221"/>
      <c r="DR365" s="221"/>
    </row>
    <row r="366" spans="1:122" s="22" customFormat="1" ht="17" customHeight="1" x14ac:dyDescent="0.3">
      <c r="A366" s="177"/>
      <c r="B366" s="370" t="str">
        <f>T(Data!A130)</f>
        <v>Compensated Absences</v>
      </c>
      <c r="C366" s="8"/>
      <c r="D366" s="367">
        <f>Data!C131</f>
        <v>0</v>
      </c>
      <c r="E366" s="113"/>
      <c r="F366" s="367">
        <f>Data!D131</f>
        <v>0</v>
      </c>
      <c r="G366" s="113"/>
      <c r="H366" s="367">
        <f>Data!E131</f>
        <v>0</v>
      </c>
      <c r="I366" s="113"/>
      <c r="J366" s="167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  <c r="AL366" s="221"/>
      <c r="AM366" s="221"/>
      <c r="AN366" s="221"/>
      <c r="AO366" s="221"/>
      <c r="AP366" s="221"/>
      <c r="AQ366" s="221"/>
      <c r="AR366" s="221"/>
      <c r="AS366" s="221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1"/>
      <c r="BD366" s="221"/>
      <c r="BE366" s="221"/>
      <c r="BF366" s="221"/>
      <c r="BG366" s="221"/>
      <c r="BH366" s="221"/>
      <c r="BI366" s="221"/>
      <c r="BJ366" s="221"/>
      <c r="BK366" s="221"/>
      <c r="BL366" s="221"/>
      <c r="BM366" s="221"/>
      <c r="BN366" s="221"/>
      <c r="BO366" s="221"/>
      <c r="BP366" s="221"/>
      <c r="BQ366" s="221"/>
      <c r="BR366" s="221"/>
      <c r="BS366" s="221"/>
      <c r="BT366" s="221"/>
      <c r="BU366" s="221"/>
      <c r="BV366" s="221"/>
      <c r="BW366" s="221"/>
      <c r="BX366" s="221"/>
      <c r="BY366" s="221"/>
      <c r="BZ366" s="221"/>
      <c r="CA366" s="221"/>
      <c r="CB366" s="221"/>
      <c r="CC366" s="221"/>
      <c r="CD366" s="221"/>
      <c r="CE366" s="221"/>
      <c r="CF366" s="221"/>
      <c r="CG366" s="221"/>
      <c r="CH366" s="221"/>
      <c r="CI366" s="221"/>
      <c r="CJ366" s="221"/>
      <c r="CK366" s="221"/>
      <c r="CL366" s="221"/>
      <c r="CM366" s="221"/>
      <c r="CN366" s="221"/>
      <c r="CO366" s="221"/>
      <c r="CP366" s="221"/>
      <c r="CQ366" s="221"/>
      <c r="CR366" s="221"/>
      <c r="CS366" s="221"/>
      <c r="CT366" s="221"/>
      <c r="CU366" s="221"/>
      <c r="CV366" s="221"/>
      <c r="CW366" s="221"/>
      <c r="CX366" s="221"/>
      <c r="CY366" s="221"/>
      <c r="CZ366" s="221"/>
      <c r="DA366" s="221"/>
      <c r="DB366" s="221"/>
      <c r="DC366" s="221"/>
      <c r="DD366" s="221"/>
      <c r="DE366" s="221"/>
      <c r="DF366" s="221"/>
      <c r="DG366" s="221"/>
      <c r="DH366" s="221"/>
      <c r="DI366" s="221"/>
      <c r="DJ366" s="221"/>
      <c r="DK366" s="221"/>
      <c r="DL366" s="221"/>
      <c r="DM366" s="221"/>
      <c r="DN366" s="221"/>
      <c r="DO366" s="221"/>
      <c r="DP366" s="221"/>
      <c r="DQ366" s="221"/>
      <c r="DR366" s="221"/>
    </row>
    <row r="367" spans="1:122" s="22" customFormat="1" ht="17" customHeight="1" x14ac:dyDescent="0.3">
      <c r="A367" s="177"/>
      <c r="B367" s="370" t="str">
        <f>T(Data!A131)</f>
        <v>Bank Line of Credit Loans</v>
      </c>
      <c r="C367" s="8"/>
      <c r="D367" s="367">
        <f>Data!C132</f>
        <v>0</v>
      </c>
      <c r="E367" s="113"/>
      <c r="F367" s="367">
        <f>Data!D132</f>
        <v>0</v>
      </c>
      <c r="G367" s="113"/>
      <c r="H367" s="367">
        <f>Data!E132</f>
        <v>0</v>
      </c>
      <c r="I367" s="113"/>
      <c r="J367" s="167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  <c r="AL367" s="221"/>
      <c r="AM367" s="221"/>
      <c r="AN367" s="221"/>
      <c r="AO367" s="221"/>
      <c r="AP367" s="221"/>
      <c r="AQ367" s="221"/>
      <c r="AR367" s="221"/>
      <c r="AS367" s="221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1"/>
      <c r="BD367" s="221"/>
      <c r="BE367" s="221"/>
      <c r="BF367" s="221"/>
      <c r="BG367" s="221"/>
      <c r="BH367" s="221"/>
      <c r="BI367" s="221"/>
      <c r="BJ367" s="221"/>
      <c r="BK367" s="221"/>
      <c r="BL367" s="221"/>
      <c r="BM367" s="221"/>
      <c r="BN367" s="221"/>
      <c r="BO367" s="221"/>
      <c r="BP367" s="221"/>
      <c r="BQ367" s="221"/>
      <c r="BR367" s="221"/>
      <c r="BS367" s="221"/>
      <c r="BT367" s="221"/>
      <c r="BU367" s="221"/>
      <c r="BV367" s="221"/>
      <c r="BW367" s="221"/>
      <c r="BX367" s="221"/>
      <c r="BY367" s="221"/>
      <c r="BZ367" s="221"/>
      <c r="CA367" s="221"/>
      <c r="CB367" s="221"/>
      <c r="CC367" s="221"/>
      <c r="CD367" s="221"/>
      <c r="CE367" s="221"/>
      <c r="CF367" s="221"/>
      <c r="CG367" s="221"/>
      <c r="CH367" s="221"/>
      <c r="CI367" s="221"/>
      <c r="CJ367" s="221"/>
      <c r="CK367" s="221"/>
      <c r="CL367" s="221"/>
      <c r="CM367" s="221"/>
      <c r="CN367" s="221"/>
      <c r="CO367" s="221"/>
      <c r="CP367" s="221"/>
      <c r="CQ367" s="221"/>
      <c r="CR367" s="221"/>
      <c r="CS367" s="221"/>
      <c r="CT367" s="221"/>
      <c r="CU367" s="221"/>
      <c r="CV367" s="221"/>
      <c r="CW367" s="221"/>
      <c r="CX367" s="221"/>
      <c r="CY367" s="221"/>
      <c r="CZ367" s="221"/>
      <c r="DA367" s="221"/>
      <c r="DB367" s="221"/>
      <c r="DC367" s="221"/>
      <c r="DD367" s="221"/>
      <c r="DE367" s="221"/>
      <c r="DF367" s="221"/>
      <c r="DG367" s="221"/>
      <c r="DH367" s="221"/>
      <c r="DI367" s="221"/>
      <c r="DJ367" s="221"/>
      <c r="DK367" s="221"/>
      <c r="DL367" s="221"/>
      <c r="DM367" s="221"/>
      <c r="DN367" s="221"/>
      <c r="DO367" s="221"/>
      <c r="DP367" s="221"/>
      <c r="DQ367" s="221"/>
      <c r="DR367" s="221"/>
    </row>
    <row r="368" spans="1:122" s="22" customFormat="1" ht="17" customHeight="1" x14ac:dyDescent="0.3">
      <c r="A368" s="177"/>
      <c r="B368" s="370" t="str">
        <f>T(Data!A132)</f>
        <v>Municipal Lease</v>
      </c>
      <c r="C368" s="8"/>
      <c r="D368" s="367">
        <f>Data!C133</f>
        <v>0</v>
      </c>
      <c r="E368" s="113"/>
      <c r="F368" s="367">
        <f>Data!D133</f>
        <v>0</v>
      </c>
      <c r="G368" s="113"/>
      <c r="H368" s="367">
        <f>Data!E133</f>
        <v>0</v>
      </c>
      <c r="I368" s="113"/>
      <c r="J368" s="167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  <c r="AL368" s="221"/>
      <c r="AM368" s="221"/>
      <c r="AN368" s="221"/>
      <c r="AO368" s="221"/>
      <c r="AP368" s="221"/>
      <c r="AQ368" s="221"/>
      <c r="AR368" s="221"/>
      <c r="AS368" s="221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1"/>
      <c r="BD368" s="221"/>
      <c r="BE368" s="221"/>
      <c r="BF368" s="221"/>
      <c r="BG368" s="221"/>
      <c r="BH368" s="221"/>
      <c r="BI368" s="221"/>
      <c r="BJ368" s="221"/>
      <c r="BK368" s="221"/>
      <c r="BL368" s="221"/>
      <c r="BM368" s="221"/>
      <c r="BN368" s="221"/>
      <c r="BO368" s="221"/>
      <c r="BP368" s="221"/>
      <c r="BQ368" s="221"/>
      <c r="BR368" s="221"/>
      <c r="BS368" s="221"/>
      <c r="BT368" s="221"/>
      <c r="BU368" s="221"/>
      <c r="BV368" s="221"/>
      <c r="BW368" s="221"/>
      <c r="BX368" s="221"/>
      <c r="BY368" s="221"/>
      <c r="BZ368" s="221"/>
      <c r="CA368" s="221"/>
      <c r="CB368" s="221"/>
      <c r="CC368" s="221"/>
      <c r="CD368" s="221"/>
      <c r="CE368" s="221"/>
      <c r="CF368" s="221"/>
      <c r="CG368" s="221"/>
      <c r="CH368" s="221"/>
      <c r="CI368" s="221"/>
      <c r="CJ368" s="221"/>
      <c r="CK368" s="221"/>
      <c r="CL368" s="221"/>
      <c r="CM368" s="221"/>
      <c r="CN368" s="221"/>
      <c r="CO368" s="221"/>
      <c r="CP368" s="221"/>
      <c r="CQ368" s="221"/>
      <c r="CR368" s="221"/>
      <c r="CS368" s="221"/>
      <c r="CT368" s="221"/>
      <c r="CU368" s="221"/>
      <c r="CV368" s="221"/>
      <c r="CW368" s="221"/>
      <c r="CX368" s="221"/>
      <c r="CY368" s="221"/>
      <c r="CZ368" s="221"/>
      <c r="DA368" s="221"/>
      <c r="DB368" s="221"/>
      <c r="DC368" s="221"/>
      <c r="DD368" s="221"/>
      <c r="DE368" s="221"/>
      <c r="DF368" s="221"/>
      <c r="DG368" s="221"/>
      <c r="DH368" s="221"/>
      <c r="DI368" s="221"/>
      <c r="DJ368" s="221"/>
      <c r="DK368" s="221"/>
      <c r="DL368" s="221"/>
      <c r="DM368" s="221"/>
      <c r="DN368" s="221"/>
      <c r="DO368" s="221"/>
      <c r="DP368" s="221"/>
      <c r="DQ368" s="221"/>
      <c r="DR368" s="221"/>
    </row>
    <row r="369" spans="1:122" s="22" customFormat="1" ht="17" customHeight="1" x14ac:dyDescent="0.3">
      <c r="A369" s="177"/>
      <c r="B369" s="370" t="str">
        <f>T(Data!A133)</f>
        <v>Capital Lease</v>
      </c>
      <c r="C369" s="8"/>
      <c r="D369" s="367">
        <f>Data!C134</f>
        <v>0</v>
      </c>
      <c r="E369" s="113"/>
      <c r="F369" s="367">
        <f>Data!D134</f>
        <v>0</v>
      </c>
      <c r="G369" s="113"/>
      <c r="H369" s="367">
        <f>Data!E134</f>
        <v>0</v>
      </c>
      <c r="I369" s="113"/>
      <c r="J369" s="167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  <c r="AL369" s="221"/>
      <c r="AM369" s="221"/>
      <c r="AN369" s="221"/>
      <c r="AO369" s="221"/>
      <c r="AP369" s="221"/>
      <c r="AQ369" s="221"/>
      <c r="AR369" s="221"/>
      <c r="AS369" s="221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1"/>
      <c r="BD369" s="221"/>
      <c r="BE369" s="221"/>
      <c r="BF369" s="221"/>
      <c r="BG369" s="221"/>
      <c r="BH369" s="221"/>
      <c r="BI369" s="221"/>
      <c r="BJ369" s="221"/>
      <c r="BK369" s="221"/>
      <c r="BL369" s="221"/>
      <c r="BM369" s="221"/>
      <c r="BN369" s="221"/>
      <c r="BO369" s="221"/>
      <c r="BP369" s="221"/>
      <c r="BQ369" s="221"/>
      <c r="BR369" s="221"/>
      <c r="BS369" s="221"/>
      <c r="BT369" s="221"/>
      <c r="BU369" s="221"/>
      <c r="BV369" s="221"/>
      <c r="BW369" s="221"/>
      <c r="BX369" s="221"/>
      <c r="BY369" s="221"/>
      <c r="BZ369" s="221"/>
      <c r="CA369" s="221"/>
      <c r="CB369" s="221"/>
      <c r="CC369" s="221"/>
      <c r="CD369" s="221"/>
      <c r="CE369" s="221"/>
      <c r="CF369" s="221"/>
      <c r="CG369" s="221"/>
      <c r="CH369" s="221"/>
      <c r="CI369" s="221"/>
      <c r="CJ369" s="221"/>
      <c r="CK369" s="221"/>
      <c r="CL369" s="221"/>
      <c r="CM369" s="221"/>
      <c r="CN369" s="221"/>
      <c r="CO369" s="221"/>
      <c r="CP369" s="221"/>
      <c r="CQ369" s="221"/>
      <c r="CR369" s="221"/>
      <c r="CS369" s="221"/>
      <c r="CT369" s="221"/>
      <c r="CU369" s="221"/>
      <c r="CV369" s="221"/>
      <c r="CW369" s="221"/>
      <c r="CX369" s="221"/>
      <c r="CY369" s="221"/>
      <c r="CZ369" s="221"/>
      <c r="DA369" s="221"/>
      <c r="DB369" s="221"/>
      <c r="DC369" s="221"/>
      <c r="DD369" s="221"/>
      <c r="DE369" s="221"/>
      <c r="DF369" s="221"/>
      <c r="DG369" s="221"/>
      <c r="DH369" s="221"/>
      <c r="DI369" s="221"/>
      <c r="DJ369" s="221"/>
      <c r="DK369" s="221"/>
      <c r="DL369" s="221"/>
      <c r="DM369" s="221"/>
      <c r="DN369" s="221"/>
      <c r="DO369" s="221"/>
      <c r="DP369" s="221"/>
      <c r="DQ369" s="221"/>
      <c r="DR369" s="221"/>
    </row>
    <row r="370" spans="1:122" s="22" customFormat="1" ht="17" customHeight="1" x14ac:dyDescent="0.3">
      <c r="A370" s="177"/>
      <c r="B370" s="370" t="str">
        <f>T(Data!A134)</f>
        <v>Capital Lease</v>
      </c>
      <c r="C370" s="8"/>
      <c r="D370" s="367">
        <f>Data!C135</f>
        <v>0</v>
      </c>
      <c r="E370" s="113"/>
      <c r="F370" s="367">
        <f>Data!D135</f>
        <v>0</v>
      </c>
      <c r="G370" s="113"/>
      <c r="H370" s="367">
        <f>Data!E135</f>
        <v>0</v>
      </c>
      <c r="I370" s="113"/>
      <c r="J370" s="167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  <c r="AL370" s="221"/>
      <c r="AM370" s="221"/>
      <c r="AN370" s="221"/>
      <c r="AO370" s="221"/>
      <c r="AP370" s="221"/>
      <c r="AQ370" s="221"/>
      <c r="AR370" s="221"/>
      <c r="AS370" s="221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1"/>
      <c r="BD370" s="221"/>
      <c r="BE370" s="221"/>
      <c r="BF370" s="221"/>
      <c r="BG370" s="221"/>
      <c r="BH370" s="221"/>
      <c r="BI370" s="221"/>
      <c r="BJ370" s="221"/>
      <c r="BK370" s="221"/>
      <c r="BL370" s="221"/>
      <c r="BM370" s="221"/>
      <c r="BN370" s="221"/>
      <c r="BO370" s="221"/>
      <c r="BP370" s="221"/>
      <c r="BQ370" s="221"/>
      <c r="BR370" s="221"/>
      <c r="BS370" s="221"/>
      <c r="BT370" s="221"/>
      <c r="BU370" s="221"/>
      <c r="BV370" s="221"/>
      <c r="BW370" s="221"/>
      <c r="BX370" s="221"/>
      <c r="BY370" s="221"/>
      <c r="BZ370" s="221"/>
      <c r="CA370" s="221"/>
      <c r="CB370" s="221"/>
      <c r="CC370" s="221"/>
      <c r="CD370" s="221"/>
      <c r="CE370" s="221"/>
      <c r="CF370" s="221"/>
      <c r="CG370" s="221"/>
      <c r="CH370" s="221"/>
      <c r="CI370" s="221"/>
      <c r="CJ370" s="221"/>
      <c r="CK370" s="221"/>
      <c r="CL370" s="221"/>
      <c r="CM370" s="221"/>
      <c r="CN370" s="221"/>
      <c r="CO370" s="221"/>
      <c r="CP370" s="221"/>
      <c r="CQ370" s="221"/>
      <c r="CR370" s="221"/>
      <c r="CS370" s="221"/>
      <c r="CT370" s="221"/>
      <c r="CU370" s="221"/>
      <c r="CV370" s="221"/>
      <c r="CW370" s="221"/>
      <c r="CX370" s="221"/>
      <c r="CY370" s="221"/>
      <c r="CZ370" s="221"/>
      <c r="DA370" s="221"/>
      <c r="DB370" s="221"/>
      <c r="DC370" s="221"/>
      <c r="DD370" s="221"/>
      <c r="DE370" s="221"/>
      <c r="DF370" s="221"/>
      <c r="DG370" s="221"/>
      <c r="DH370" s="221"/>
      <c r="DI370" s="221"/>
      <c r="DJ370" s="221"/>
      <c r="DK370" s="221"/>
      <c r="DL370" s="221"/>
      <c r="DM370" s="221"/>
      <c r="DN370" s="221"/>
      <c r="DO370" s="221"/>
      <c r="DP370" s="221"/>
      <c r="DQ370" s="221"/>
      <c r="DR370" s="221"/>
    </row>
    <row r="371" spans="1:122" s="22" customFormat="1" ht="17" customHeight="1" x14ac:dyDescent="0.3">
      <c r="A371" s="177"/>
      <c r="B371" s="370" t="str">
        <f>T(Data!A135)</f>
        <v>Capital Lease</v>
      </c>
      <c r="C371" s="8"/>
      <c r="D371" s="367">
        <f>Data!C136</f>
        <v>0</v>
      </c>
      <c r="E371" s="113"/>
      <c r="F371" s="367">
        <f>Data!D136</f>
        <v>0</v>
      </c>
      <c r="G371" s="113"/>
      <c r="H371" s="367">
        <f>Data!E136</f>
        <v>0</v>
      </c>
      <c r="I371" s="113"/>
      <c r="J371" s="167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1"/>
      <c r="CO371" s="221"/>
      <c r="CP371" s="221"/>
      <c r="CQ371" s="221"/>
      <c r="CR371" s="221"/>
      <c r="CS371" s="221"/>
      <c r="CT371" s="221"/>
      <c r="CU371" s="221"/>
      <c r="CV371" s="221"/>
      <c r="CW371" s="221"/>
      <c r="CX371" s="221"/>
      <c r="CY371" s="221"/>
      <c r="CZ371" s="221"/>
      <c r="DA371" s="221"/>
      <c r="DB371" s="221"/>
      <c r="DC371" s="221"/>
      <c r="DD371" s="221"/>
      <c r="DE371" s="221"/>
      <c r="DF371" s="221"/>
      <c r="DG371" s="221"/>
      <c r="DH371" s="221"/>
      <c r="DI371" s="221"/>
      <c r="DJ371" s="221"/>
      <c r="DK371" s="221"/>
      <c r="DL371" s="221"/>
      <c r="DM371" s="221"/>
      <c r="DN371" s="221"/>
      <c r="DO371" s="221"/>
      <c r="DP371" s="221"/>
      <c r="DQ371" s="221"/>
      <c r="DR371" s="221"/>
    </row>
    <row r="372" spans="1:122" s="22" customFormat="1" ht="17" customHeight="1" x14ac:dyDescent="0.3">
      <c r="A372" s="177"/>
      <c r="B372" s="370" t="str">
        <f>T(Data!A136)</f>
        <v>Inter-Agency Borrowing</v>
      </c>
      <c r="C372" s="8"/>
      <c r="D372" s="367">
        <f>Data!C137</f>
        <v>0</v>
      </c>
      <c r="E372" s="113"/>
      <c r="F372" s="367">
        <f>Data!D137</f>
        <v>0</v>
      </c>
      <c r="G372" s="113"/>
      <c r="H372" s="367">
        <f>Data!E137</f>
        <v>0</v>
      </c>
      <c r="I372" s="113"/>
      <c r="J372" s="167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1"/>
      <c r="CO372" s="221"/>
      <c r="CP372" s="221"/>
      <c r="CQ372" s="221"/>
      <c r="CR372" s="221"/>
      <c r="CS372" s="221"/>
      <c r="CT372" s="221"/>
      <c r="CU372" s="221"/>
      <c r="CV372" s="221"/>
      <c r="CW372" s="221"/>
      <c r="CX372" s="221"/>
      <c r="CY372" s="221"/>
      <c r="CZ372" s="221"/>
      <c r="DA372" s="221"/>
      <c r="DB372" s="221"/>
      <c r="DC372" s="221"/>
      <c r="DD372" s="221"/>
      <c r="DE372" s="221"/>
      <c r="DF372" s="221"/>
      <c r="DG372" s="221"/>
      <c r="DH372" s="221"/>
      <c r="DI372" s="221"/>
      <c r="DJ372" s="221"/>
      <c r="DK372" s="221"/>
      <c r="DL372" s="221"/>
      <c r="DM372" s="221"/>
      <c r="DN372" s="221"/>
      <c r="DO372" s="221"/>
      <c r="DP372" s="221"/>
      <c r="DQ372" s="221"/>
      <c r="DR372" s="221"/>
    </row>
    <row r="373" spans="1:122" s="22" customFormat="1" ht="17" customHeight="1" thickBot="1" x14ac:dyDescent="0.35">
      <c r="A373" s="177"/>
      <c r="B373" s="370" t="s">
        <v>161</v>
      </c>
      <c r="C373" s="8"/>
      <c r="D373" s="371">
        <f t="shared" ref="D373:I373" si="28">SUM(D362:D372)</f>
        <v>63608</v>
      </c>
      <c r="E373" s="372">
        <f t="shared" si="28"/>
        <v>63608</v>
      </c>
      <c r="F373" s="372">
        <f t="shared" si="28"/>
        <v>0</v>
      </c>
      <c r="G373" s="372">
        <f t="shared" si="28"/>
        <v>0</v>
      </c>
      <c r="H373" s="372">
        <f t="shared" si="28"/>
        <v>0</v>
      </c>
      <c r="I373" s="373">
        <f t="shared" si="28"/>
        <v>0</v>
      </c>
      <c r="J373" s="167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1"/>
      <c r="CO373" s="221"/>
      <c r="CP373" s="221"/>
      <c r="CQ373" s="221"/>
      <c r="CR373" s="221"/>
      <c r="CS373" s="221"/>
      <c r="CT373" s="221"/>
      <c r="CU373" s="221"/>
      <c r="CV373" s="221"/>
      <c r="CW373" s="221"/>
      <c r="CX373" s="221"/>
      <c r="CY373" s="221"/>
      <c r="CZ373" s="221"/>
      <c r="DA373" s="221"/>
      <c r="DB373" s="221"/>
      <c r="DC373" s="221"/>
      <c r="DD373" s="221"/>
      <c r="DE373" s="221"/>
      <c r="DF373" s="221"/>
      <c r="DG373" s="221"/>
      <c r="DH373" s="221"/>
      <c r="DI373" s="221"/>
      <c r="DJ373" s="221"/>
      <c r="DK373" s="221"/>
      <c r="DL373" s="221"/>
      <c r="DM373" s="221"/>
      <c r="DN373" s="221"/>
      <c r="DO373" s="221"/>
      <c r="DP373" s="221"/>
      <c r="DQ373" s="221"/>
      <c r="DR373" s="221"/>
    </row>
    <row r="374" spans="1:122" s="57" customFormat="1" ht="17" customHeight="1" thickTop="1" x14ac:dyDescent="0.3">
      <c r="A374" s="219"/>
      <c r="B374" s="374" t="s">
        <v>200</v>
      </c>
      <c r="C374" s="219"/>
      <c r="D374" s="375"/>
      <c r="E374" s="375">
        <f>E373-D373</f>
        <v>0</v>
      </c>
      <c r="F374" s="375"/>
      <c r="G374" s="375">
        <f>G373-F373</f>
        <v>0</v>
      </c>
      <c r="H374" s="375"/>
      <c r="I374" s="375">
        <f>I373-H373</f>
        <v>0</v>
      </c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2"/>
      <c r="BN374" s="222"/>
      <c r="BO374" s="222"/>
      <c r="BP374" s="222"/>
      <c r="BQ374" s="222"/>
      <c r="BR374" s="222"/>
      <c r="BS374" s="222"/>
      <c r="BT374" s="222"/>
      <c r="BU374" s="222"/>
      <c r="BV374" s="222"/>
      <c r="BW374" s="222"/>
      <c r="BX374" s="222"/>
      <c r="BY374" s="222"/>
      <c r="BZ374" s="222"/>
      <c r="CA374" s="222"/>
      <c r="CB374" s="222"/>
      <c r="CC374" s="222"/>
      <c r="CD374" s="222"/>
      <c r="CE374" s="222"/>
      <c r="CF374" s="222"/>
      <c r="CG374" s="222"/>
      <c r="CH374" s="222"/>
      <c r="CI374" s="222"/>
      <c r="CJ374" s="222"/>
      <c r="CK374" s="222"/>
      <c r="CL374" s="222"/>
      <c r="CM374" s="222"/>
      <c r="CN374" s="222"/>
      <c r="CO374" s="222"/>
      <c r="CP374" s="222"/>
      <c r="CQ374" s="222"/>
      <c r="CR374" s="222"/>
      <c r="CS374" s="222"/>
      <c r="CT374" s="222"/>
      <c r="CU374" s="222"/>
      <c r="CV374" s="222"/>
      <c r="CW374" s="222"/>
      <c r="CX374" s="222"/>
      <c r="CY374" s="222"/>
      <c r="CZ374" s="222"/>
      <c r="DA374" s="222"/>
      <c r="DB374" s="222"/>
      <c r="DC374" s="222"/>
      <c r="DD374" s="222"/>
      <c r="DE374" s="222"/>
      <c r="DF374" s="222"/>
      <c r="DG374" s="222"/>
      <c r="DH374" s="222"/>
      <c r="DI374" s="222"/>
      <c r="DJ374" s="222"/>
      <c r="DK374" s="222"/>
      <c r="DL374" s="222"/>
      <c r="DM374" s="222"/>
      <c r="DN374" s="222"/>
      <c r="DO374" s="222"/>
      <c r="DP374" s="222"/>
      <c r="DQ374" s="222"/>
      <c r="DR374" s="222"/>
    </row>
    <row r="375" spans="1:122" s="22" customFormat="1" ht="17" customHeight="1" x14ac:dyDescent="0.3">
      <c r="A375" s="177"/>
      <c r="B375" s="370"/>
      <c r="C375" s="8"/>
      <c r="D375" s="376"/>
      <c r="E375" s="376"/>
      <c r="F375" s="376"/>
      <c r="G375" s="376"/>
      <c r="H375" s="376"/>
      <c r="I375" s="376"/>
      <c r="J375" s="167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  <c r="AL375" s="221"/>
      <c r="AM375" s="221"/>
      <c r="AN375" s="221"/>
      <c r="AO375" s="221"/>
      <c r="AP375" s="221"/>
      <c r="AQ375" s="221"/>
      <c r="AR375" s="221"/>
      <c r="AS375" s="221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1"/>
      <c r="BD375" s="221"/>
      <c r="BE375" s="221"/>
      <c r="BF375" s="221"/>
      <c r="BG375" s="221"/>
      <c r="BH375" s="221"/>
      <c r="BI375" s="221"/>
      <c r="BJ375" s="221"/>
      <c r="BK375" s="221"/>
      <c r="BL375" s="221"/>
      <c r="BM375" s="221"/>
      <c r="BN375" s="221"/>
      <c r="BO375" s="221"/>
      <c r="BP375" s="221"/>
      <c r="BQ375" s="221"/>
      <c r="BR375" s="221"/>
      <c r="BS375" s="221"/>
      <c r="BT375" s="221"/>
      <c r="BU375" s="221"/>
      <c r="BV375" s="221"/>
      <c r="BW375" s="221"/>
      <c r="BX375" s="221"/>
      <c r="BY375" s="221"/>
      <c r="BZ375" s="221"/>
      <c r="CA375" s="221"/>
      <c r="CB375" s="221"/>
      <c r="CC375" s="221"/>
      <c r="CD375" s="221"/>
      <c r="CE375" s="221"/>
      <c r="CF375" s="221"/>
      <c r="CG375" s="221"/>
      <c r="CH375" s="221"/>
      <c r="CI375" s="221"/>
      <c r="CJ375" s="221"/>
      <c r="CK375" s="221"/>
      <c r="CL375" s="221"/>
      <c r="CM375" s="221"/>
      <c r="CN375" s="221"/>
      <c r="CO375" s="221"/>
      <c r="CP375" s="221"/>
      <c r="CQ375" s="221"/>
      <c r="CR375" s="221"/>
      <c r="CS375" s="221"/>
      <c r="CT375" s="221"/>
      <c r="CU375" s="221"/>
      <c r="CV375" s="221"/>
      <c r="CW375" s="221"/>
      <c r="CX375" s="221"/>
      <c r="CY375" s="221"/>
      <c r="CZ375" s="221"/>
      <c r="DA375" s="221"/>
      <c r="DB375" s="221"/>
      <c r="DC375" s="221"/>
      <c r="DD375" s="221"/>
      <c r="DE375" s="221"/>
      <c r="DF375" s="221"/>
      <c r="DG375" s="221"/>
      <c r="DH375" s="221"/>
      <c r="DI375" s="221"/>
      <c r="DJ375" s="221"/>
      <c r="DK375" s="221"/>
      <c r="DL375" s="221"/>
      <c r="DM375" s="221"/>
      <c r="DN375" s="221"/>
      <c r="DO375" s="221"/>
      <c r="DP375" s="221"/>
      <c r="DQ375" s="221"/>
      <c r="DR375" s="221"/>
    </row>
    <row r="376" spans="1:122" s="22" customFormat="1" ht="17" customHeight="1" x14ac:dyDescent="0.3">
      <c r="A376" s="177"/>
      <c r="B376" s="370" t="s">
        <v>199</v>
      </c>
      <c r="C376" s="8"/>
      <c r="D376" s="376"/>
      <c r="E376" s="376">
        <f>Data!C103+Data!C114</f>
        <v>86248</v>
      </c>
      <c r="F376" s="376"/>
      <c r="G376" s="376">
        <f>Data!D103+Data!D114</f>
        <v>86248</v>
      </c>
      <c r="H376" s="376"/>
      <c r="I376" s="376">
        <f>Data!E103+Data!E114</f>
        <v>0</v>
      </c>
      <c r="J376" s="167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1"/>
      <c r="BD376" s="221"/>
      <c r="BE376" s="221"/>
      <c r="BF376" s="221"/>
      <c r="BG376" s="221"/>
      <c r="BH376" s="221"/>
      <c r="BI376" s="221"/>
      <c r="BJ376" s="221"/>
      <c r="BK376" s="221"/>
      <c r="BL376" s="221"/>
      <c r="BM376" s="221"/>
      <c r="BN376" s="221"/>
      <c r="BO376" s="221"/>
      <c r="BP376" s="221"/>
      <c r="BQ376" s="221"/>
      <c r="BR376" s="221"/>
      <c r="BS376" s="221"/>
      <c r="BT376" s="221"/>
      <c r="BU376" s="221"/>
      <c r="BV376" s="221"/>
      <c r="BW376" s="221"/>
      <c r="BX376" s="221"/>
      <c r="BY376" s="221"/>
      <c r="BZ376" s="221"/>
      <c r="CA376" s="221"/>
      <c r="CB376" s="221"/>
      <c r="CC376" s="221"/>
      <c r="CD376" s="221"/>
      <c r="CE376" s="221"/>
      <c r="CF376" s="221"/>
      <c r="CG376" s="221"/>
      <c r="CH376" s="221"/>
      <c r="CI376" s="221"/>
      <c r="CJ376" s="221"/>
      <c r="CK376" s="221"/>
      <c r="CL376" s="221"/>
      <c r="CM376" s="221"/>
      <c r="CN376" s="221"/>
      <c r="CO376" s="221"/>
      <c r="CP376" s="221"/>
      <c r="CQ376" s="221"/>
      <c r="CR376" s="221"/>
      <c r="CS376" s="221"/>
      <c r="CT376" s="221"/>
      <c r="CU376" s="221"/>
      <c r="CV376" s="221"/>
      <c r="CW376" s="221"/>
      <c r="CX376" s="221"/>
      <c r="CY376" s="221"/>
      <c r="CZ376" s="221"/>
      <c r="DA376" s="221"/>
      <c r="DB376" s="221"/>
      <c r="DC376" s="221"/>
      <c r="DD376" s="221"/>
      <c r="DE376" s="221"/>
      <c r="DF376" s="221"/>
      <c r="DG376" s="221"/>
      <c r="DH376" s="221"/>
      <c r="DI376" s="221"/>
      <c r="DJ376" s="221"/>
      <c r="DK376" s="221"/>
      <c r="DL376" s="221"/>
      <c r="DM376" s="221"/>
      <c r="DN376" s="221"/>
      <c r="DO376" s="221"/>
      <c r="DP376" s="221"/>
      <c r="DQ376" s="221"/>
      <c r="DR376" s="221"/>
    </row>
    <row r="377" spans="1:122" s="57" customFormat="1" ht="15" x14ac:dyDescent="0.3">
      <c r="A377" s="219"/>
      <c r="B377" s="374" t="s">
        <v>201</v>
      </c>
      <c r="C377" s="219"/>
      <c r="D377" s="375"/>
      <c r="E377" s="375">
        <f>E376-E374</f>
        <v>86248</v>
      </c>
      <c r="F377" s="375"/>
      <c r="G377" s="375">
        <f>G376-G374</f>
        <v>86248</v>
      </c>
      <c r="H377" s="375"/>
      <c r="I377" s="375">
        <f>I376-I374</f>
        <v>0</v>
      </c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22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2"/>
      <c r="BD377" s="222"/>
      <c r="BE377" s="222"/>
      <c r="BF377" s="222"/>
      <c r="BG377" s="222"/>
      <c r="BH377" s="222"/>
      <c r="BI377" s="222"/>
      <c r="BJ377" s="222"/>
      <c r="BK377" s="222"/>
      <c r="BL377" s="222"/>
      <c r="BM377" s="222"/>
      <c r="BN377" s="222"/>
      <c r="BO377" s="222"/>
      <c r="BP377" s="222"/>
      <c r="BQ377" s="222"/>
      <c r="BR377" s="222"/>
      <c r="BS377" s="222"/>
      <c r="BT377" s="222"/>
      <c r="BU377" s="222"/>
      <c r="BV377" s="222"/>
      <c r="BW377" s="222"/>
      <c r="BX377" s="222"/>
      <c r="BY377" s="222"/>
      <c r="BZ377" s="222"/>
      <c r="CA377" s="222"/>
      <c r="CB377" s="222"/>
      <c r="CC377" s="222"/>
      <c r="CD377" s="222"/>
      <c r="CE377" s="222"/>
      <c r="CF377" s="222"/>
      <c r="CG377" s="222"/>
      <c r="CH377" s="222"/>
      <c r="CI377" s="222"/>
      <c r="CJ377" s="222"/>
      <c r="CK377" s="222"/>
      <c r="CL377" s="222"/>
      <c r="CM377" s="222"/>
      <c r="CN377" s="222"/>
      <c r="CO377" s="222"/>
      <c r="CP377" s="222"/>
      <c r="CQ377" s="222"/>
      <c r="CR377" s="222"/>
      <c r="CS377" s="222"/>
      <c r="CT377" s="222"/>
      <c r="CU377" s="222"/>
      <c r="CV377" s="222"/>
      <c r="CW377" s="222"/>
      <c r="CX377" s="222"/>
      <c r="CY377" s="222"/>
      <c r="CZ377" s="222"/>
      <c r="DA377" s="222"/>
      <c r="DB377" s="222"/>
      <c r="DC377" s="222"/>
      <c r="DD377" s="222"/>
      <c r="DE377" s="222"/>
      <c r="DF377" s="222"/>
      <c r="DG377" s="222"/>
      <c r="DH377" s="222"/>
      <c r="DI377" s="222"/>
      <c r="DJ377" s="222"/>
      <c r="DK377" s="222"/>
      <c r="DL377" s="222"/>
      <c r="DM377" s="222"/>
      <c r="DN377" s="222"/>
      <c r="DO377" s="222"/>
      <c r="DP377" s="222"/>
      <c r="DQ377" s="222"/>
      <c r="DR377" s="222"/>
    </row>
    <row r="378" spans="1:122" s="22" customFormat="1" ht="17" customHeight="1" thickBot="1" x14ac:dyDescent="0.35">
      <c r="A378" s="177"/>
      <c r="B378" s="370"/>
      <c r="C378" s="8"/>
      <c r="D378" s="376"/>
      <c r="E378" s="376"/>
      <c r="F378" s="376"/>
      <c r="G378" s="376"/>
      <c r="H378" s="376"/>
      <c r="I378" s="376"/>
      <c r="J378" s="167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  <c r="AL378" s="221"/>
      <c r="AM378" s="221"/>
      <c r="AN378" s="221"/>
      <c r="AO378" s="221"/>
      <c r="AP378" s="221"/>
      <c r="AQ378" s="221"/>
      <c r="AR378" s="221"/>
      <c r="AS378" s="221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  <c r="BS378" s="221"/>
      <c r="BT378" s="221"/>
      <c r="BU378" s="221"/>
      <c r="BV378" s="221"/>
      <c r="BW378" s="221"/>
      <c r="BX378" s="221"/>
      <c r="BY378" s="221"/>
      <c r="BZ378" s="221"/>
      <c r="CA378" s="221"/>
      <c r="CB378" s="221"/>
      <c r="CC378" s="221"/>
      <c r="CD378" s="221"/>
      <c r="CE378" s="221"/>
      <c r="CF378" s="221"/>
      <c r="CG378" s="221"/>
      <c r="CH378" s="221"/>
      <c r="CI378" s="221"/>
      <c r="CJ378" s="221"/>
      <c r="CK378" s="221"/>
      <c r="CL378" s="221"/>
      <c r="CM378" s="221"/>
      <c r="CN378" s="221"/>
      <c r="CO378" s="221"/>
      <c r="CP378" s="221"/>
      <c r="CQ378" s="221"/>
      <c r="CR378" s="221"/>
      <c r="CS378" s="221"/>
      <c r="CT378" s="221"/>
      <c r="CU378" s="221"/>
      <c r="CV378" s="221"/>
      <c r="CW378" s="221"/>
      <c r="CX378" s="221"/>
      <c r="CY378" s="221"/>
      <c r="CZ378" s="221"/>
      <c r="DA378" s="221"/>
      <c r="DB378" s="221"/>
      <c r="DC378" s="221"/>
      <c r="DD378" s="221"/>
      <c r="DE378" s="221"/>
      <c r="DF378" s="221"/>
      <c r="DG378" s="221"/>
      <c r="DH378" s="221"/>
      <c r="DI378" s="221"/>
      <c r="DJ378" s="221"/>
      <c r="DK378" s="221"/>
      <c r="DL378" s="221"/>
      <c r="DM378" s="221"/>
      <c r="DN378" s="221"/>
      <c r="DO378" s="221"/>
      <c r="DP378" s="221"/>
      <c r="DQ378" s="221"/>
      <c r="DR378" s="221"/>
    </row>
    <row r="379" spans="1:122" s="4" customFormat="1" ht="17" customHeight="1" thickBot="1" x14ac:dyDescent="0.35">
      <c r="A379" s="167"/>
      <c r="B379" s="621" t="s">
        <v>60</v>
      </c>
      <c r="C379" s="622"/>
      <c r="D379" s="622"/>
      <c r="E379" s="622"/>
      <c r="F379" s="622"/>
      <c r="G379" s="622"/>
      <c r="H379" s="622"/>
      <c r="I379" s="623"/>
      <c r="J379" s="309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</row>
    <row r="380" spans="1:122" s="4" customFormat="1" ht="53.25" customHeight="1" x14ac:dyDescent="0.3">
      <c r="A380" s="167"/>
      <c r="B380" s="618" t="s">
        <v>357</v>
      </c>
      <c r="C380" s="619"/>
      <c r="D380" s="619"/>
      <c r="E380" s="619"/>
      <c r="F380" s="619"/>
      <c r="G380" s="619"/>
      <c r="H380" s="619"/>
      <c r="I380" s="620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</row>
    <row r="381" spans="1:122" s="4" customFormat="1" ht="17" customHeight="1" x14ac:dyDescent="0.35">
      <c r="A381" s="167"/>
      <c r="B381" s="174"/>
      <c r="C381" s="309"/>
      <c r="D381" s="309"/>
      <c r="E381" s="377"/>
      <c r="F381" s="377"/>
      <c r="G381" s="168"/>
      <c r="H381" s="168"/>
      <c r="I381" s="173"/>
      <c r="J381" s="15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</row>
    <row r="382" spans="1:122" s="64" customFormat="1" ht="19.5" customHeight="1" x14ac:dyDescent="0.25">
      <c r="A382" s="281" t="s">
        <v>90</v>
      </c>
      <c r="B382" s="282"/>
      <c r="C382" s="282"/>
      <c r="D382" s="283"/>
      <c r="E382" s="283"/>
      <c r="F382" s="284"/>
      <c r="G382" s="282"/>
      <c r="H382" s="282"/>
      <c r="I382" s="282"/>
      <c r="J382" s="282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16"/>
      <c r="BU382" s="216"/>
      <c r="BV382" s="216"/>
      <c r="BW382" s="216"/>
      <c r="BX382" s="216"/>
      <c r="BY382" s="216"/>
      <c r="BZ382" s="216"/>
      <c r="CA382" s="216"/>
      <c r="CB382" s="216"/>
      <c r="CC382" s="216"/>
      <c r="CD382" s="216"/>
      <c r="CE382" s="216"/>
      <c r="CF382" s="216"/>
      <c r="CG382" s="216"/>
      <c r="CH382" s="216"/>
      <c r="CI382" s="216"/>
      <c r="CJ382" s="216"/>
      <c r="CK382" s="216"/>
      <c r="CL382" s="216"/>
      <c r="CM382" s="216"/>
      <c r="CN382" s="216"/>
      <c r="CO382" s="216"/>
      <c r="CP382" s="216"/>
      <c r="CQ382" s="216"/>
      <c r="CR382" s="216"/>
      <c r="CS382" s="216"/>
      <c r="CT382" s="216"/>
      <c r="CU382" s="216"/>
      <c r="CV382" s="216"/>
      <c r="CW382" s="216"/>
      <c r="CX382" s="216"/>
      <c r="CY382" s="216"/>
      <c r="CZ382" s="216"/>
      <c r="DA382" s="216"/>
      <c r="DB382" s="216"/>
      <c r="DC382" s="216"/>
      <c r="DD382" s="216"/>
      <c r="DE382" s="216"/>
      <c r="DF382" s="216"/>
      <c r="DG382" s="216"/>
      <c r="DH382" s="216"/>
      <c r="DI382" s="216"/>
      <c r="DJ382" s="216"/>
      <c r="DK382" s="216"/>
      <c r="DL382" s="216"/>
      <c r="DM382" s="216"/>
      <c r="DN382" s="216"/>
      <c r="DO382" s="216"/>
      <c r="DP382" s="216"/>
      <c r="DQ382" s="216"/>
      <c r="DR382" s="216"/>
    </row>
    <row r="383" spans="1:122" s="73" customFormat="1" ht="8.25" customHeight="1" x14ac:dyDescent="0.25">
      <c r="A383" s="378"/>
      <c r="B383" s="218"/>
      <c r="C383" s="218"/>
      <c r="D383" s="379"/>
      <c r="E383" s="379"/>
      <c r="F383" s="380"/>
      <c r="G383" s="218"/>
      <c r="H383" s="218"/>
      <c r="I383" s="218"/>
      <c r="J383" s="218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217"/>
      <c r="CN383" s="217"/>
      <c r="CO383" s="217"/>
      <c r="CP383" s="217"/>
      <c r="CQ383" s="217"/>
      <c r="CR383" s="217"/>
      <c r="CS383" s="217"/>
      <c r="CT383" s="217"/>
      <c r="CU383" s="217"/>
      <c r="CV383" s="217"/>
      <c r="CW383" s="217"/>
      <c r="CX383" s="217"/>
      <c r="CY383" s="217"/>
      <c r="CZ383" s="217"/>
      <c r="DA383" s="217"/>
      <c r="DB383" s="217"/>
      <c r="DC383" s="217"/>
      <c r="DD383" s="217"/>
      <c r="DE383" s="217"/>
      <c r="DF383" s="217"/>
      <c r="DG383" s="217"/>
      <c r="DH383" s="217"/>
      <c r="DI383" s="217"/>
      <c r="DJ383" s="217"/>
      <c r="DK383" s="217"/>
      <c r="DL383" s="217"/>
      <c r="DM383" s="217"/>
      <c r="DN383" s="217"/>
      <c r="DO383" s="217"/>
      <c r="DP383" s="217"/>
      <c r="DQ383" s="217"/>
      <c r="DR383" s="217"/>
    </row>
    <row r="384" spans="1:122" s="73" customFormat="1" ht="19.5" customHeight="1" x14ac:dyDescent="0.25">
      <c r="A384" s="378"/>
      <c r="B384" s="218"/>
      <c r="C384" s="218"/>
      <c r="D384" s="381" t="str">
        <f>D360</f>
        <v>2022-23</v>
      </c>
      <c r="E384" s="381" t="str">
        <f>F360</f>
        <v>2023-24</v>
      </c>
      <c r="F384" s="381"/>
      <c r="G384" s="217"/>
      <c r="H384" s="381"/>
      <c r="I384" s="217"/>
      <c r="J384" s="381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217"/>
      <c r="CN384" s="217"/>
      <c r="CO384" s="217"/>
      <c r="CP384" s="217"/>
      <c r="CQ384" s="217"/>
      <c r="CR384" s="217"/>
      <c r="CS384" s="217"/>
      <c r="CT384" s="217"/>
      <c r="CU384" s="217"/>
      <c r="CV384" s="217"/>
      <c r="CW384" s="217"/>
      <c r="CX384" s="217"/>
      <c r="CY384" s="217"/>
      <c r="CZ384" s="217"/>
      <c r="DA384" s="217"/>
      <c r="DB384" s="217"/>
      <c r="DC384" s="217"/>
      <c r="DD384" s="217"/>
      <c r="DE384" s="217"/>
      <c r="DF384" s="217"/>
      <c r="DG384" s="217"/>
      <c r="DH384" s="217"/>
      <c r="DI384" s="217"/>
      <c r="DJ384" s="217"/>
      <c r="DK384" s="217"/>
      <c r="DL384" s="217"/>
      <c r="DM384" s="217"/>
      <c r="DN384" s="217"/>
      <c r="DO384" s="217"/>
      <c r="DP384" s="217"/>
      <c r="DQ384" s="217"/>
      <c r="DR384" s="217"/>
    </row>
    <row r="385" spans="1:122" ht="41" x14ac:dyDescent="0.3">
      <c r="A385" s="239"/>
      <c r="B385" s="382" t="s">
        <v>91</v>
      </c>
      <c r="C385" s="383">
        <f>Data!C140</f>
        <v>829917</v>
      </c>
      <c r="D385" s="366" t="s">
        <v>92</v>
      </c>
      <c r="E385" s="366" t="s">
        <v>92</v>
      </c>
      <c r="F385" s="213"/>
      <c r="G385" s="155"/>
      <c r="H385" s="384"/>
      <c r="I385" s="155"/>
      <c r="J385" s="213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  <c r="CG385" s="155"/>
      <c r="CH385" s="155"/>
      <c r="CI385" s="155"/>
      <c r="CJ385" s="155"/>
      <c r="CK385" s="155"/>
      <c r="CL385" s="155"/>
      <c r="CM385" s="155"/>
      <c r="CN385" s="155"/>
      <c r="CO385" s="155"/>
      <c r="CP385" s="155"/>
      <c r="CQ385" s="155"/>
      <c r="CR385" s="155"/>
      <c r="CS385" s="155"/>
      <c r="CT385" s="155"/>
      <c r="CU385" s="155"/>
      <c r="CV385" s="155"/>
      <c r="CW385" s="155"/>
      <c r="CX385" s="155"/>
      <c r="CY385" s="155"/>
      <c r="CZ385" s="155"/>
      <c r="DA385" s="155"/>
      <c r="DB385" s="155"/>
      <c r="DC385" s="155"/>
      <c r="DD385" s="155"/>
      <c r="DE385" s="155"/>
      <c r="DF385" s="155"/>
      <c r="DG385" s="155"/>
      <c r="DH385" s="155"/>
      <c r="DI385" s="155"/>
      <c r="DJ385" s="155"/>
      <c r="DK385" s="155"/>
      <c r="DL385" s="155"/>
      <c r="DM385" s="155"/>
      <c r="DN385" s="155"/>
      <c r="DO385" s="155"/>
      <c r="DP385" s="155"/>
      <c r="DQ385" s="155"/>
      <c r="DR385" s="155"/>
    </row>
    <row r="386" spans="1:122" ht="17" customHeight="1" x14ac:dyDescent="0.3">
      <c r="A386" s="239"/>
      <c r="B386" s="385"/>
      <c r="C386" s="385" t="s">
        <v>93</v>
      </c>
      <c r="D386" s="386">
        <f>Data!C141</f>
        <v>1279957.2</v>
      </c>
      <c r="E386" s="386">
        <f>Data!D141</f>
        <v>255533.34311474441</v>
      </c>
      <c r="F386" s="387"/>
      <c r="G386" s="175"/>
      <c r="H386" s="388"/>
      <c r="I386" s="155"/>
      <c r="J386" s="387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  <c r="CG386" s="155"/>
      <c r="CH386" s="155"/>
      <c r="CI386" s="155"/>
      <c r="CJ386" s="155"/>
      <c r="CK386" s="155"/>
      <c r="CL386" s="155"/>
      <c r="CM386" s="155"/>
      <c r="CN386" s="155"/>
      <c r="CO386" s="155"/>
      <c r="CP386" s="155"/>
      <c r="CQ386" s="155"/>
      <c r="CR386" s="155"/>
      <c r="CS386" s="155"/>
      <c r="CT386" s="155"/>
      <c r="CU386" s="155"/>
      <c r="CV386" s="155"/>
      <c r="CW386" s="155"/>
      <c r="CX386" s="155"/>
      <c r="CY386" s="155"/>
      <c r="CZ386" s="155"/>
      <c r="DA386" s="155"/>
      <c r="DB386" s="155"/>
      <c r="DC386" s="155"/>
      <c r="DD386" s="155"/>
      <c r="DE386" s="155"/>
      <c r="DF386" s="155"/>
      <c r="DG386" s="155"/>
      <c r="DH386" s="155"/>
      <c r="DI386" s="155"/>
      <c r="DJ386" s="155"/>
      <c r="DK386" s="155"/>
      <c r="DL386" s="155"/>
      <c r="DM386" s="155"/>
      <c r="DN386" s="155"/>
      <c r="DO386" s="155"/>
      <c r="DP386" s="155"/>
      <c r="DQ386" s="155"/>
      <c r="DR386" s="155"/>
    </row>
    <row r="387" spans="1:122" ht="17" customHeight="1" x14ac:dyDescent="0.3">
      <c r="A387" s="239"/>
      <c r="B387" s="327"/>
      <c r="C387" s="327" t="s">
        <v>94</v>
      </c>
      <c r="D387" s="386">
        <f>Data!C142</f>
        <v>1467130.2</v>
      </c>
      <c r="E387" s="386">
        <f>Data!D142</f>
        <v>851282.29117855523</v>
      </c>
      <c r="F387" s="387"/>
      <c r="G387" s="175"/>
      <c r="H387" s="388"/>
      <c r="I387" s="155"/>
      <c r="J387" s="387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  <c r="CG387" s="155"/>
      <c r="CH387" s="155"/>
      <c r="CI387" s="155"/>
      <c r="CJ387" s="155"/>
      <c r="CK387" s="155"/>
      <c r="CL387" s="155"/>
      <c r="CM387" s="155"/>
      <c r="CN387" s="155"/>
      <c r="CO387" s="155"/>
      <c r="CP387" s="155"/>
      <c r="CQ387" s="155"/>
      <c r="CR387" s="155"/>
      <c r="CS387" s="155"/>
      <c r="CT387" s="155"/>
      <c r="CU387" s="155"/>
      <c r="CV387" s="155"/>
      <c r="CW387" s="155"/>
      <c r="CX387" s="155"/>
      <c r="CY387" s="155"/>
      <c r="CZ387" s="155"/>
      <c r="DA387" s="155"/>
      <c r="DB387" s="155"/>
      <c r="DC387" s="155"/>
      <c r="DD387" s="155"/>
      <c r="DE387" s="155"/>
      <c r="DF387" s="155"/>
      <c r="DG387" s="155"/>
      <c r="DH387" s="155"/>
      <c r="DI387" s="155"/>
      <c r="DJ387" s="155"/>
      <c r="DK387" s="155"/>
      <c r="DL387" s="155"/>
      <c r="DM387" s="155"/>
      <c r="DN387" s="155"/>
      <c r="DO387" s="155"/>
      <c r="DP387" s="155"/>
      <c r="DQ387" s="155"/>
      <c r="DR387" s="155"/>
    </row>
    <row r="388" spans="1:122" ht="17" customHeight="1" x14ac:dyDescent="0.3">
      <c r="A388" s="239"/>
      <c r="B388" s="327"/>
      <c r="C388" s="327" t="s">
        <v>95</v>
      </c>
      <c r="D388" s="386">
        <f>Data!C143</f>
        <v>1298841.2</v>
      </c>
      <c r="E388" s="386">
        <f>Data!D143</f>
        <v>536308.45232956368</v>
      </c>
      <c r="F388" s="387"/>
      <c r="G388" s="175"/>
      <c r="H388" s="388"/>
      <c r="I388" s="155"/>
      <c r="J388" s="387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5"/>
      <c r="CE388" s="155"/>
      <c r="CF388" s="155"/>
      <c r="CG388" s="155"/>
      <c r="CH388" s="155"/>
      <c r="CI388" s="155"/>
      <c r="CJ388" s="155"/>
      <c r="CK388" s="155"/>
      <c r="CL388" s="155"/>
      <c r="CM388" s="155"/>
      <c r="CN388" s="155"/>
      <c r="CO388" s="155"/>
      <c r="CP388" s="155"/>
      <c r="CQ388" s="155"/>
      <c r="CR388" s="155"/>
      <c r="CS388" s="155"/>
      <c r="CT388" s="155"/>
      <c r="CU388" s="155"/>
      <c r="CV388" s="155"/>
      <c r="CW388" s="155"/>
      <c r="CX388" s="155"/>
      <c r="CY388" s="155"/>
      <c r="CZ388" s="155"/>
      <c r="DA388" s="155"/>
      <c r="DB388" s="155"/>
      <c r="DC388" s="155"/>
      <c r="DD388" s="155"/>
      <c r="DE388" s="155"/>
      <c r="DF388" s="155"/>
      <c r="DG388" s="155"/>
      <c r="DH388" s="155"/>
      <c r="DI388" s="155"/>
      <c r="DJ388" s="155"/>
      <c r="DK388" s="155"/>
      <c r="DL388" s="155"/>
      <c r="DM388" s="155"/>
      <c r="DN388" s="155"/>
      <c r="DO388" s="155"/>
      <c r="DP388" s="155"/>
      <c r="DQ388" s="155"/>
      <c r="DR388" s="155"/>
    </row>
    <row r="389" spans="1:122" ht="17" customHeight="1" x14ac:dyDescent="0.3">
      <c r="A389" s="239"/>
      <c r="B389" s="327"/>
      <c r="C389" s="327" t="s">
        <v>96</v>
      </c>
      <c r="D389" s="386">
        <f>Data!C144</f>
        <v>1012580.2</v>
      </c>
      <c r="E389" s="386">
        <f>Data!D144</f>
        <v>694604.7460893644</v>
      </c>
      <c r="F389" s="387"/>
      <c r="G389" s="175"/>
      <c r="H389" s="388"/>
      <c r="I389" s="155"/>
      <c r="J389" s="387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  <c r="CG389" s="155"/>
      <c r="CH389" s="155"/>
      <c r="CI389" s="155"/>
      <c r="CJ389" s="155"/>
      <c r="CK389" s="155"/>
      <c r="CL389" s="155"/>
      <c r="CM389" s="155"/>
      <c r="CN389" s="155"/>
      <c r="CO389" s="155"/>
      <c r="CP389" s="155"/>
      <c r="CQ389" s="155"/>
      <c r="CR389" s="155"/>
      <c r="CS389" s="155"/>
      <c r="CT389" s="155"/>
      <c r="CU389" s="155"/>
      <c r="CV389" s="155"/>
      <c r="CW389" s="155"/>
      <c r="CX389" s="155"/>
      <c r="CY389" s="155"/>
      <c r="CZ389" s="155"/>
      <c r="DA389" s="155"/>
      <c r="DB389" s="155"/>
      <c r="DC389" s="155"/>
      <c r="DD389" s="155"/>
      <c r="DE389" s="155"/>
      <c r="DF389" s="155"/>
      <c r="DG389" s="155"/>
      <c r="DH389" s="155"/>
      <c r="DI389" s="155"/>
      <c r="DJ389" s="155"/>
      <c r="DK389" s="155"/>
      <c r="DL389" s="155"/>
      <c r="DM389" s="155"/>
      <c r="DN389" s="155"/>
      <c r="DO389" s="155"/>
      <c r="DP389" s="155"/>
      <c r="DQ389" s="155"/>
      <c r="DR389" s="155"/>
    </row>
    <row r="390" spans="1:122" ht="17" customHeight="1" x14ac:dyDescent="0.3">
      <c r="A390" s="239"/>
      <c r="B390" s="327"/>
      <c r="C390" s="327" t="s">
        <v>97</v>
      </c>
      <c r="D390" s="386">
        <f>Data!C145</f>
        <v>1059528.2</v>
      </c>
      <c r="E390" s="386">
        <f>Data!D145</f>
        <v>633021.60517422471</v>
      </c>
      <c r="F390" s="387"/>
      <c r="G390" s="175"/>
      <c r="H390" s="388"/>
      <c r="I390" s="155"/>
      <c r="J390" s="387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  <c r="CG390" s="155"/>
      <c r="CH390" s="155"/>
      <c r="CI390" s="155"/>
      <c r="CJ390" s="155"/>
      <c r="CK390" s="155"/>
      <c r="CL390" s="155"/>
      <c r="CM390" s="155"/>
      <c r="CN390" s="155"/>
      <c r="CO390" s="155"/>
      <c r="CP390" s="155"/>
      <c r="CQ390" s="155"/>
      <c r="CR390" s="155"/>
      <c r="CS390" s="155"/>
      <c r="CT390" s="155"/>
      <c r="CU390" s="155"/>
      <c r="CV390" s="155"/>
      <c r="CW390" s="155"/>
      <c r="CX390" s="155"/>
      <c r="CY390" s="155"/>
      <c r="CZ390" s="155"/>
      <c r="DA390" s="155"/>
      <c r="DB390" s="155"/>
      <c r="DC390" s="155"/>
      <c r="DD390" s="155"/>
      <c r="DE390" s="155"/>
      <c r="DF390" s="155"/>
      <c r="DG390" s="155"/>
      <c r="DH390" s="155"/>
      <c r="DI390" s="155"/>
      <c r="DJ390" s="155"/>
      <c r="DK390" s="155"/>
      <c r="DL390" s="155"/>
      <c r="DM390" s="155"/>
      <c r="DN390" s="155"/>
      <c r="DO390" s="155"/>
      <c r="DP390" s="155"/>
      <c r="DQ390" s="155"/>
      <c r="DR390" s="155"/>
    </row>
    <row r="391" spans="1:122" ht="17" customHeight="1" x14ac:dyDescent="0.3">
      <c r="A391" s="239"/>
      <c r="B391" s="327"/>
      <c r="C391" s="327" t="s">
        <v>98</v>
      </c>
      <c r="D391" s="386">
        <f>Data!C146</f>
        <v>899043.2</v>
      </c>
      <c r="E391" s="386">
        <f>Data!D146</f>
        <v>542558.81773691869</v>
      </c>
      <c r="F391" s="387"/>
      <c r="G391" s="175"/>
      <c r="H391" s="388"/>
      <c r="I391" s="155"/>
      <c r="J391" s="387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  <c r="CG391" s="155"/>
      <c r="CH391" s="155"/>
      <c r="CI391" s="155"/>
      <c r="CJ391" s="155"/>
      <c r="CK391" s="155"/>
      <c r="CL391" s="155"/>
      <c r="CM391" s="155"/>
      <c r="CN391" s="155"/>
      <c r="CO391" s="155"/>
      <c r="CP391" s="155"/>
      <c r="CQ391" s="155"/>
      <c r="CR391" s="155"/>
      <c r="CS391" s="155"/>
      <c r="CT391" s="155"/>
      <c r="CU391" s="155"/>
      <c r="CV391" s="155"/>
      <c r="CW391" s="155"/>
      <c r="CX391" s="155"/>
      <c r="CY391" s="155"/>
      <c r="CZ391" s="155"/>
      <c r="DA391" s="155"/>
      <c r="DB391" s="155"/>
      <c r="DC391" s="155"/>
      <c r="DD391" s="155"/>
      <c r="DE391" s="155"/>
      <c r="DF391" s="155"/>
      <c r="DG391" s="155"/>
      <c r="DH391" s="155"/>
      <c r="DI391" s="155"/>
      <c r="DJ391" s="155"/>
      <c r="DK391" s="155"/>
      <c r="DL391" s="155"/>
      <c r="DM391" s="155"/>
      <c r="DN391" s="155"/>
      <c r="DO391" s="155"/>
      <c r="DP391" s="155"/>
      <c r="DQ391" s="155"/>
      <c r="DR391" s="155"/>
    </row>
    <row r="392" spans="1:122" ht="17" customHeight="1" x14ac:dyDescent="0.3">
      <c r="A392" s="239"/>
      <c r="B392" s="327"/>
      <c r="C392" s="327" t="s">
        <v>99</v>
      </c>
      <c r="D392" s="386">
        <f>Data!C147</f>
        <v>1037090.2</v>
      </c>
      <c r="E392" s="386">
        <f>Data!D147</f>
        <v>835652.7456601382</v>
      </c>
      <c r="F392" s="387"/>
      <c r="G392" s="175"/>
      <c r="H392" s="388"/>
      <c r="I392" s="155"/>
      <c r="J392" s="387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5"/>
      <c r="CE392" s="155"/>
      <c r="CF392" s="155"/>
      <c r="CG392" s="155"/>
      <c r="CH392" s="155"/>
      <c r="CI392" s="155"/>
      <c r="CJ392" s="155"/>
      <c r="CK392" s="155"/>
      <c r="CL392" s="155"/>
      <c r="CM392" s="155"/>
      <c r="CN392" s="155"/>
      <c r="CO392" s="155"/>
      <c r="CP392" s="155"/>
      <c r="CQ392" s="155"/>
      <c r="CR392" s="155"/>
      <c r="CS392" s="155"/>
      <c r="CT392" s="155"/>
      <c r="CU392" s="155"/>
      <c r="CV392" s="155"/>
      <c r="CW392" s="155"/>
      <c r="CX392" s="155"/>
      <c r="CY392" s="155"/>
      <c r="CZ392" s="155"/>
      <c r="DA392" s="155"/>
      <c r="DB392" s="155"/>
      <c r="DC392" s="155"/>
      <c r="DD392" s="155"/>
      <c r="DE392" s="155"/>
      <c r="DF392" s="155"/>
      <c r="DG392" s="155"/>
      <c r="DH392" s="155"/>
      <c r="DI392" s="155"/>
      <c r="DJ392" s="155"/>
      <c r="DK392" s="155"/>
      <c r="DL392" s="155"/>
      <c r="DM392" s="155"/>
      <c r="DN392" s="155"/>
      <c r="DO392" s="155"/>
      <c r="DP392" s="155"/>
      <c r="DQ392" s="155"/>
      <c r="DR392" s="155"/>
    </row>
    <row r="393" spans="1:122" ht="17" customHeight="1" x14ac:dyDescent="0.3">
      <c r="A393" s="239"/>
      <c r="B393" s="327"/>
      <c r="C393" s="327" t="s">
        <v>100</v>
      </c>
      <c r="D393" s="386">
        <f>Data!C148</f>
        <v>1394729.2</v>
      </c>
      <c r="E393" s="386">
        <f>Data!D148</f>
        <v>789003.27225311531</v>
      </c>
      <c r="F393" s="387"/>
      <c r="G393" s="175"/>
      <c r="H393" s="388"/>
      <c r="I393" s="155"/>
      <c r="J393" s="387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5"/>
      <c r="CE393" s="155"/>
      <c r="CF393" s="155"/>
      <c r="CG393" s="155"/>
      <c r="CH393" s="155"/>
      <c r="CI393" s="155"/>
      <c r="CJ393" s="155"/>
      <c r="CK393" s="155"/>
      <c r="CL393" s="155"/>
      <c r="CM393" s="155"/>
      <c r="CN393" s="155"/>
      <c r="CO393" s="155"/>
      <c r="CP393" s="155"/>
      <c r="CQ393" s="155"/>
      <c r="CR393" s="155"/>
      <c r="CS393" s="155"/>
      <c r="CT393" s="155"/>
      <c r="CU393" s="155"/>
      <c r="CV393" s="155"/>
      <c r="CW393" s="155"/>
      <c r="CX393" s="155"/>
      <c r="CY393" s="155"/>
      <c r="CZ393" s="155"/>
      <c r="DA393" s="155"/>
      <c r="DB393" s="155"/>
      <c r="DC393" s="155"/>
      <c r="DD393" s="155"/>
      <c r="DE393" s="155"/>
      <c r="DF393" s="155"/>
      <c r="DG393" s="155"/>
      <c r="DH393" s="155"/>
      <c r="DI393" s="155"/>
      <c r="DJ393" s="155"/>
      <c r="DK393" s="155"/>
      <c r="DL393" s="155"/>
      <c r="DM393" s="155"/>
      <c r="DN393" s="155"/>
      <c r="DO393" s="155"/>
      <c r="DP393" s="155"/>
      <c r="DQ393" s="155"/>
      <c r="DR393" s="155"/>
    </row>
    <row r="394" spans="1:122" ht="17" customHeight="1" x14ac:dyDescent="0.3">
      <c r="A394" s="239"/>
      <c r="B394" s="327"/>
      <c r="C394" s="327" t="s">
        <v>101</v>
      </c>
      <c r="D394" s="386">
        <f>Data!C149</f>
        <v>756559.2</v>
      </c>
      <c r="E394" s="386">
        <f>Data!D149</f>
        <v>474525.81788273214</v>
      </c>
      <c r="F394" s="387"/>
      <c r="G394" s="175"/>
      <c r="H394" s="388"/>
      <c r="I394" s="155"/>
      <c r="J394" s="387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5"/>
      <c r="CE394" s="155"/>
      <c r="CF394" s="155"/>
      <c r="CG394" s="155"/>
      <c r="CH394" s="155"/>
      <c r="CI394" s="155"/>
      <c r="CJ394" s="155"/>
      <c r="CK394" s="155"/>
      <c r="CL394" s="155"/>
      <c r="CM394" s="155"/>
      <c r="CN394" s="155"/>
      <c r="CO394" s="155"/>
      <c r="CP394" s="155"/>
      <c r="CQ394" s="155"/>
      <c r="CR394" s="155"/>
      <c r="CS394" s="155"/>
      <c r="CT394" s="155"/>
      <c r="CU394" s="155"/>
      <c r="CV394" s="155"/>
      <c r="CW394" s="155"/>
      <c r="CX394" s="155"/>
      <c r="CY394" s="155"/>
      <c r="CZ394" s="155"/>
      <c r="DA394" s="155"/>
      <c r="DB394" s="155"/>
      <c r="DC394" s="155"/>
      <c r="DD394" s="155"/>
      <c r="DE394" s="155"/>
      <c r="DF394" s="155"/>
      <c r="DG394" s="155"/>
      <c r="DH394" s="155"/>
      <c r="DI394" s="155"/>
      <c r="DJ394" s="155"/>
      <c r="DK394" s="155"/>
      <c r="DL394" s="155"/>
      <c r="DM394" s="155"/>
      <c r="DN394" s="155"/>
      <c r="DO394" s="155"/>
      <c r="DP394" s="155"/>
      <c r="DQ394" s="155"/>
      <c r="DR394" s="155"/>
    </row>
    <row r="395" spans="1:122" ht="17" customHeight="1" x14ac:dyDescent="0.3">
      <c r="A395" s="239"/>
      <c r="B395" s="327"/>
      <c r="C395" s="327" t="s">
        <v>102</v>
      </c>
      <c r="D395" s="386">
        <f>Data!C150</f>
        <v>664623.19999999995</v>
      </c>
      <c r="E395" s="386">
        <f>Data!D150</f>
        <v>683415.78289342381</v>
      </c>
      <c r="F395" s="387"/>
      <c r="G395" s="175"/>
      <c r="H395" s="388"/>
      <c r="I395" s="155"/>
      <c r="J395" s="387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5"/>
      <c r="CE395" s="155"/>
      <c r="CF395" s="155"/>
      <c r="CG395" s="155"/>
      <c r="CH395" s="155"/>
      <c r="CI395" s="155"/>
      <c r="CJ395" s="155"/>
      <c r="CK395" s="155"/>
      <c r="CL395" s="155"/>
      <c r="CM395" s="155"/>
      <c r="CN395" s="155"/>
      <c r="CO395" s="155"/>
      <c r="CP395" s="155"/>
      <c r="CQ395" s="155"/>
      <c r="CR395" s="155"/>
      <c r="CS395" s="155"/>
      <c r="CT395" s="155"/>
      <c r="CU395" s="155"/>
      <c r="CV395" s="155"/>
      <c r="CW395" s="155"/>
      <c r="CX395" s="155"/>
      <c r="CY395" s="155"/>
      <c r="CZ395" s="155"/>
      <c r="DA395" s="155"/>
      <c r="DB395" s="155"/>
      <c r="DC395" s="155"/>
      <c r="DD395" s="155"/>
      <c r="DE395" s="155"/>
      <c r="DF395" s="155"/>
      <c r="DG395" s="155"/>
      <c r="DH395" s="155"/>
      <c r="DI395" s="155"/>
      <c r="DJ395" s="155"/>
      <c r="DK395" s="155"/>
      <c r="DL395" s="155"/>
      <c r="DM395" s="155"/>
      <c r="DN395" s="155"/>
      <c r="DO395" s="155"/>
      <c r="DP395" s="155"/>
      <c r="DQ395" s="155"/>
      <c r="DR395" s="155"/>
    </row>
    <row r="396" spans="1:122" ht="17" customHeight="1" x14ac:dyDescent="0.3">
      <c r="A396" s="239"/>
      <c r="B396" s="327"/>
      <c r="C396" s="327" t="s">
        <v>103</v>
      </c>
      <c r="D396" s="386">
        <f>Data!C151</f>
        <v>353444.19999999995</v>
      </c>
      <c r="E396" s="386">
        <f>Data!D151</f>
        <v>708013.09138969181</v>
      </c>
      <c r="F396" s="387"/>
      <c r="G396" s="175"/>
      <c r="H396" s="388"/>
      <c r="I396" s="155"/>
      <c r="J396" s="387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5"/>
      <c r="CE396" s="155"/>
      <c r="CF396" s="155"/>
      <c r="CG396" s="155"/>
      <c r="CH396" s="155"/>
      <c r="CI396" s="155"/>
      <c r="CJ396" s="155"/>
      <c r="CK396" s="155"/>
      <c r="CL396" s="155"/>
      <c r="CM396" s="155"/>
      <c r="CN396" s="155"/>
      <c r="CO396" s="155"/>
      <c r="CP396" s="155"/>
      <c r="CQ396" s="155"/>
      <c r="CR396" s="155"/>
      <c r="CS396" s="155"/>
      <c r="CT396" s="155"/>
      <c r="CU396" s="155"/>
      <c r="CV396" s="155"/>
      <c r="CW396" s="155"/>
      <c r="CX396" s="155"/>
      <c r="CY396" s="155"/>
      <c r="CZ396" s="155"/>
      <c r="DA396" s="155"/>
      <c r="DB396" s="155"/>
      <c r="DC396" s="155"/>
      <c r="DD396" s="155"/>
      <c r="DE396" s="155"/>
      <c r="DF396" s="155"/>
      <c r="DG396" s="155"/>
      <c r="DH396" s="155"/>
      <c r="DI396" s="155"/>
      <c r="DJ396" s="155"/>
      <c r="DK396" s="155"/>
      <c r="DL396" s="155"/>
      <c r="DM396" s="155"/>
      <c r="DN396" s="155"/>
      <c r="DO396" s="155"/>
      <c r="DP396" s="155"/>
      <c r="DQ396" s="155"/>
      <c r="DR396" s="155"/>
    </row>
    <row r="397" spans="1:122" ht="17" customHeight="1" x14ac:dyDescent="0.3">
      <c r="A397" s="239"/>
      <c r="B397" s="327"/>
      <c r="C397" s="327" t="s">
        <v>104</v>
      </c>
      <c r="D397" s="386">
        <f>Data!C152</f>
        <v>311609.19999999995</v>
      </c>
      <c r="E397" s="386">
        <f>Data!D152</f>
        <v>243730.43707232608</v>
      </c>
      <c r="F397" s="387"/>
      <c r="G397" s="175"/>
      <c r="H397" s="388"/>
      <c r="I397" s="155"/>
      <c r="J397" s="387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5"/>
      <c r="CE397" s="155"/>
      <c r="CF397" s="155"/>
      <c r="CG397" s="155"/>
      <c r="CH397" s="155"/>
      <c r="CI397" s="155"/>
      <c r="CJ397" s="155"/>
      <c r="CK397" s="155"/>
      <c r="CL397" s="155"/>
      <c r="CM397" s="155"/>
      <c r="CN397" s="155"/>
      <c r="CO397" s="155"/>
      <c r="CP397" s="155"/>
      <c r="CQ397" s="155"/>
      <c r="CR397" s="155"/>
      <c r="CS397" s="155"/>
      <c r="CT397" s="155"/>
      <c r="CU397" s="155"/>
      <c r="CV397" s="155"/>
      <c r="CW397" s="155"/>
      <c r="CX397" s="155"/>
      <c r="CY397" s="155"/>
      <c r="CZ397" s="155"/>
      <c r="DA397" s="155"/>
      <c r="DB397" s="155"/>
      <c r="DC397" s="155"/>
      <c r="DD397" s="155"/>
      <c r="DE397" s="155"/>
      <c r="DF397" s="155"/>
      <c r="DG397" s="155"/>
      <c r="DH397" s="155"/>
      <c r="DI397" s="155"/>
      <c r="DJ397" s="155"/>
      <c r="DK397" s="155"/>
      <c r="DL397" s="155"/>
      <c r="DM397" s="155"/>
      <c r="DN397" s="155"/>
      <c r="DO397" s="155"/>
      <c r="DP397" s="155"/>
      <c r="DQ397" s="155"/>
      <c r="DR397" s="155"/>
    </row>
    <row r="398" spans="1:122" ht="17" customHeight="1" x14ac:dyDescent="0.3">
      <c r="A398" s="239"/>
      <c r="B398" s="239"/>
      <c r="C398" s="239"/>
      <c r="D398" s="244"/>
      <c r="E398" s="244"/>
      <c r="F398" s="244"/>
      <c r="G398" s="239"/>
      <c r="H398" s="327"/>
      <c r="I398" s="239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5"/>
      <c r="CE398" s="155"/>
      <c r="CF398" s="155"/>
      <c r="CG398" s="155"/>
      <c r="CH398" s="155"/>
      <c r="CI398" s="155"/>
      <c r="CJ398" s="155"/>
      <c r="CK398" s="155"/>
      <c r="CL398" s="155"/>
      <c r="CM398" s="155"/>
      <c r="CN398" s="155"/>
      <c r="CO398" s="155"/>
      <c r="CP398" s="155"/>
      <c r="CQ398" s="155"/>
      <c r="CR398" s="155"/>
      <c r="CS398" s="155"/>
      <c r="CT398" s="155"/>
      <c r="CU398" s="155"/>
      <c r="CV398" s="155"/>
      <c r="CW398" s="155"/>
      <c r="CX398" s="155"/>
      <c r="CY398" s="155"/>
      <c r="CZ398" s="155"/>
      <c r="DA398" s="155"/>
      <c r="DB398" s="155"/>
      <c r="DC398" s="155"/>
      <c r="DD398" s="155"/>
      <c r="DE398" s="155"/>
      <c r="DF398" s="155"/>
      <c r="DG398" s="155"/>
      <c r="DH398" s="155"/>
      <c r="DI398" s="155"/>
      <c r="DJ398" s="155"/>
      <c r="DK398" s="155"/>
      <c r="DL398" s="155"/>
      <c r="DM398" s="155"/>
      <c r="DN398" s="155"/>
      <c r="DO398" s="155"/>
      <c r="DP398" s="155"/>
      <c r="DQ398" s="155"/>
      <c r="DR398" s="155"/>
    </row>
    <row r="399" spans="1:122" ht="7.5" customHeight="1" thickBot="1" x14ac:dyDescent="0.35">
      <c r="A399" s="239"/>
      <c r="B399" s="239"/>
      <c r="C399" s="239"/>
      <c r="D399" s="244"/>
      <c r="E399" s="244"/>
      <c r="F399" s="244"/>
      <c r="G399" s="239"/>
      <c r="H399" s="327"/>
      <c r="I399" s="239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5"/>
      <c r="CE399" s="155"/>
      <c r="CF399" s="155"/>
      <c r="CG399" s="155"/>
      <c r="CH399" s="155"/>
      <c r="CI399" s="155"/>
      <c r="CJ399" s="155"/>
      <c r="CK399" s="155"/>
      <c r="CL399" s="155"/>
      <c r="CM399" s="155"/>
      <c r="CN399" s="155"/>
      <c r="CO399" s="155"/>
      <c r="CP399" s="155"/>
      <c r="CQ399" s="155"/>
      <c r="CR399" s="155"/>
      <c r="CS399" s="155"/>
      <c r="CT399" s="155"/>
      <c r="CU399" s="155"/>
      <c r="CV399" s="155"/>
      <c r="CW399" s="155"/>
      <c r="CX399" s="155"/>
      <c r="CY399" s="155"/>
      <c r="CZ399" s="155"/>
      <c r="DA399" s="155"/>
      <c r="DB399" s="155"/>
      <c r="DC399" s="155"/>
      <c r="DD399" s="155"/>
      <c r="DE399" s="155"/>
      <c r="DF399" s="155"/>
      <c r="DG399" s="155"/>
      <c r="DH399" s="155"/>
      <c r="DI399" s="155"/>
      <c r="DJ399" s="155"/>
      <c r="DK399" s="155"/>
      <c r="DL399" s="155"/>
      <c r="DM399" s="155"/>
      <c r="DN399" s="155"/>
      <c r="DO399" s="155"/>
      <c r="DP399" s="155"/>
      <c r="DQ399" s="155"/>
      <c r="DR399" s="155"/>
    </row>
    <row r="400" spans="1:122" ht="16.5" customHeight="1" thickBot="1" x14ac:dyDescent="0.35">
      <c r="A400" s="239"/>
      <c r="B400" s="582" t="s">
        <v>259</v>
      </c>
      <c r="C400" s="583"/>
      <c r="D400" s="583"/>
      <c r="E400" s="583"/>
      <c r="F400" s="583"/>
      <c r="G400" s="583"/>
      <c r="H400" s="583"/>
      <c r="I400" s="584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5"/>
      <c r="CE400" s="155"/>
      <c r="CF400" s="155"/>
      <c r="CG400" s="155"/>
      <c r="CH400" s="155"/>
      <c r="CI400" s="155"/>
      <c r="CJ400" s="155"/>
      <c r="CK400" s="155"/>
      <c r="CL400" s="155"/>
      <c r="CM400" s="155"/>
      <c r="CN400" s="155"/>
      <c r="CO400" s="155"/>
      <c r="CP400" s="155"/>
      <c r="CQ400" s="155"/>
      <c r="CR400" s="155"/>
      <c r="CS400" s="155"/>
      <c r="CT400" s="155"/>
      <c r="CU400" s="155"/>
      <c r="CV400" s="155"/>
      <c r="CW400" s="155"/>
      <c r="CX400" s="155"/>
      <c r="CY400" s="155"/>
      <c r="CZ400" s="155"/>
      <c r="DA400" s="155"/>
      <c r="DB400" s="155"/>
      <c r="DC400" s="155"/>
      <c r="DD400" s="155"/>
      <c r="DE400" s="155"/>
      <c r="DF400" s="155"/>
      <c r="DG400" s="155"/>
      <c r="DH400" s="155"/>
      <c r="DI400" s="155"/>
      <c r="DJ400" s="155"/>
      <c r="DK400" s="155"/>
      <c r="DL400" s="155"/>
      <c r="DM400" s="155"/>
      <c r="DN400" s="155"/>
      <c r="DO400" s="155"/>
      <c r="DP400" s="155"/>
      <c r="DQ400" s="155"/>
      <c r="DR400" s="155"/>
    </row>
    <row r="401" spans="1:122" ht="52.5" customHeight="1" x14ac:dyDescent="0.3">
      <c r="A401" s="239"/>
      <c r="B401" s="615"/>
      <c r="C401" s="616"/>
      <c r="D401" s="616"/>
      <c r="E401" s="616"/>
      <c r="F401" s="616"/>
      <c r="G401" s="616"/>
      <c r="H401" s="616"/>
      <c r="I401" s="617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5"/>
      <c r="CE401" s="155"/>
      <c r="CF401" s="155"/>
      <c r="CG401" s="155"/>
      <c r="CH401" s="155"/>
      <c r="CI401" s="155"/>
      <c r="CJ401" s="155"/>
      <c r="CK401" s="155"/>
      <c r="CL401" s="155"/>
      <c r="CM401" s="155"/>
      <c r="CN401" s="155"/>
      <c r="CO401" s="155"/>
      <c r="CP401" s="155"/>
      <c r="CQ401" s="155"/>
      <c r="CR401" s="155"/>
      <c r="CS401" s="155"/>
      <c r="CT401" s="155"/>
      <c r="CU401" s="155"/>
      <c r="CV401" s="155"/>
      <c r="CW401" s="155"/>
      <c r="CX401" s="155"/>
      <c r="CY401" s="155"/>
      <c r="CZ401" s="155"/>
      <c r="DA401" s="155"/>
      <c r="DB401" s="155"/>
      <c r="DC401" s="155"/>
      <c r="DD401" s="155"/>
      <c r="DE401" s="155"/>
      <c r="DF401" s="155"/>
      <c r="DG401" s="155"/>
      <c r="DH401" s="155"/>
      <c r="DI401" s="155"/>
      <c r="DJ401" s="155"/>
      <c r="DK401" s="155"/>
      <c r="DL401" s="155"/>
      <c r="DM401" s="155"/>
      <c r="DN401" s="155"/>
      <c r="DO401" s="155"/>
      <c r="DP401" s="155"/>
      <c r="DQ401" s="155"/>
      <c r="DR401" s="155"/>
    </row>
    <row r="402" spans="1:122" ht="17" customHeight="1" thickBot="1" x14ac:dyDescent="0.35">
      <c r="A402" s="239"/>
      <c r="B402" s="239"/>
      <c r="C402" s="239"/>
      <c r="D402" s="244"/>
      <c r="E402" s="244"/>
      <c r="F402" s="244"/>
      <c r="G402" s="239"/>
      <c r="H402" s="327"/>
      <c r="I402" s="239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5"/>
      <c r="CE402" s="155"/>
      <c r="CF402" s="155"/>
      <c r="CG402" s="155"/>
      <c r="CH402" s="155"/>
      <c r="CI402" s="155"/>
      <c r="CJ402" s="155"/>
      <c r="CK402" s="155"/>
      <c r="CL402" s="155"/>
      <c r="CM402" s="155"/>
      <c r="CN402" s="155"/>
      <c r="CO402" s="155"/>
      <c r="CP402" s="155"/>
      <c r="CQ402" s="155"/>
      <c r="CR402" s="155"/>
      <c r="CS402" s="155"/>
      <c r="CT402" s="155"/>
      <c r="CU402" s="155"/>
      <c r="CV402" s="155"/>
      <c r="CW402" s="155"/>
      <c r="CX402" s="155"/>
      <c r="CY402" s="155"/>
      <c r="CZ402" s="155"/>
      <c r="DA402" s="155"/>
      <c r="DB402" s="155"/>
      <c r="DC402" s="155"/>
      <c r="DD402" s="155"/>
      <c r="DE402" s="155"/>
      <c r="DF402" s="155"/>
      <c r="DG402" s="155"/>
      <c r="DH402" s="155"/>
      <c r="DI402" s="155"/>
      <c r="DJ402" s="155"/>
      <c r="DK402" s="155"/>
      <c r="DL402" s="155"/>
      <c r="DM402" s="155"/>
      <c r="DN402" s="155"/>
      <c r="DO402" s="155"/>
      <c r="DP402" s="155"/>
      <c r="DQ402" s="155"/>
      <c r="DR402" s="155"/>
    </row>
    <row r="403" spans="1:122" ht="17" customHeight="1" thickBot="1" x14ac:dyDescent="0.35">
      <c r="A403" s="627" t="s">
        <v>219</v>
      </c>
      <c r="B403" s="628"/>
      <c r="C403" s="628"/>
      <c r="D403" s="628"/>
      <c r="E403" s="628"/>
      <c r="F403" s="628"/>
      <c r="G403" s="628"/>
      <c r="H403" s="628"/>
      <c r="I403" s="629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5"/>
      <c r="CE403" s="155"/>
      <c r="CF403" s="155"/>
      <c r="CG403" s="155"/>
      <c r="CH403" s="155"/>
      <c r="CI403" s="155"/>
      <c r="CJ403" s="155"/>
      <c r="CK403" s="155"/>
      <c r="CL403" s="155"/>
      <c r="CM403" s="155"/>
      <c r="CN403" s="155"/>
      <c r="CO403" s="155"/>
      <c r="CP403" s="155"/>
      <c r="CQ403" s="155"/>
      <c r="CR403" s="155"/>
      <c r="CS403" s="155"/>
      <c r="CT403" s="155"/>
      <c r="CU403" s="155"/>
      <c r="CV403" s="155"/>
      <c r="CW403" s="155"/>
      <c r="CX403" s="155"/>
      <c r="CY403" s="155"/>
      <c r="CZ403" s="155"/>
      <c r="DA403" s="155"/>
      <c r="DB403" s="155"/>
      <c r="DC403" s="155"/>
      <c r="DD403" s="155"/>
      <c r="DE403" s="155"/>
      <c r="DF403" s="155"/>
      <c r="DG403" s="155"/>
      <c r="DH403" s="155"/>
      <c r="DI403" s="155"/>
      <c r="DJ403" s="155"/>
      <c r="DK403" s="155"/>
      <c r="DL403" s="155"/>
      <c r="DM403" s="155"/>
      <c r="DN403" s="155"/>
      <c r="DO403" s="155"/>
      <c r="DP403" s="155"/>
      <c r="DQ403" s="155"/>
      <c r="DR403" s="155"/>
    </row>
    <row r="404" spans="1:122" ht="17" customHeight="1" x14ac:dyDescent="0.3">
      <c r="A404" s="239"/>
      <c r="B404" s="13"/>
      <c r="C404" s="13"/>
      <c r="D404" s="13"/>
      <c r="E404" s="34"/>
      <c r="F404" s="32"/>
      <c r="G404" s="13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5"/>
      <c r="CE404" s="155"/>
      <c r="CF404" s="155"/>
      <c r="CG404" s="155"/>
      <c r="CH404" s="155"/>
      <c r="CI404" s="155"/>
      <c r="CJ404" s="155"/>
      <c r="CK404" s="155"/>
      <c r="CL404" s="155"/>
      <c r="CM404" s="155"/>
      <c r="CN404" s="155"/>
      <c r="CO404" s="155"/>
      <c r="CP404" s="155"/>
      <c r="CQ404" s="155"/>
      <c r="CR404" s="155"/>
      <c r="CS404" s="155"/>
      <c r="CT404" s="155"/>
      <c r="CU404" s="155"/>
      <c r="CV404" s="155"/>
      <c r="CW404" s="155"/>
      <c r="CX404" s="155"/>
      <c r="CY404" s="155"/>
      <c r="CZ404" s="155"/>
      <c r="DA404" s="155"/>
      <c r="DB404" s="155"/>
      <c r="DC404" s="155"/>
      <c r="DD404" s="155"/>
      <c r="DE404" s="155"/>
      <c r="DF404" s="155"/>
      <c r="DG404" s="155"/>
      <c r="DH404" s="155"/>
      <c r="DI404" s="155"/>
      <c r="DJ404" s="155"/>
      <c r="DK404" s="155"/>
      <c r="DL404" s="155"/>
      <c r="DM404" s="155"/>
      <c r="DN404" s="155"/>
      <c r="DO404" s="155"/>
      <c r="DP404" s="155"/>
      <c r="DQ404" s="155"/>
      <c r="DR404" s="155"/>
    </row>
    <row r="405" spans="1:122" ht="17" customHeight="1" x14ac:dyDescent="0.3">
      <c r="A405" s="155"/>
      <c r="B405" s="23" t="s">
        <v>202</v>
      </c>
      <c r="C405" s="13"/>
      <c r="D405" s="13"/>
      <c r="E405" s="19" t="s">
        <v>105</v>
      </c>
      <c r="F405" s="32"/>
      <c r="G405" s="13"/>
      <c r="J405" s="4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5"/>
      <c r="CE405" s="155"/>
      <c r="CF405" s="155"/>
      <c r="CG405" s="155"/>
      <c r="CH405" s="155"/>
      <c r="CI405" s="155"/>
      <c r="CJ405" s="155"/>
      <c r="CK405" s="155"/>
      <c r="CL405" s="155"/>
      <c r="CM405" s="155"/>
      <c r="CN405" s="155"/>
      <c r="CO405" s="155"/>
      <c r="CP405" s="155"/>
      <c r="CQ405" s="155"/>
      <c r="CR405" s="155"/>
      <c r="CS405" s="155"/>
      <c r="CT405" s="155"/>
      <c r="CU405" s="155"/>
      <c r="CV405" s="155"/>
      <c r="CW405" s="155"/>
      <c r="CX405" s="155"/>
      <c r="CY405" s="155"/>
      <c r="CZ405" s="155"/>
      <c r="DA405" s="155"/>
      <c r="DB405" s="155"/>
      <c r="DC405" s="155"/>
      <c r="DD405" s="155"/>
      <c r="DE405" s="155"/>
      <c r="DF405" s="155"/>
      <c r="DG405" s="155"/>
      <c r="DH405" s="155"/>
      <c r="DI405" s="155"/>
      <c r="DJ405" s="155"/>
      <c r="DK405" s="155"/>
      <c r="DL405" s="155"/>
      <c r="DM405" s="155"/>
      <c r="DN405" s="155"/>
      <c r="DO405" s="155"/>
      <c r="DP405" s="155"/>
      <c r="DQ405" s="155"/>
      <c r="DR405" s="155"/>
    </row>
    <row r="406" spans="1:122" s="4" customFormat="1" ht="17" customHeight="1" x14ac:dyDescent="0.3">
      <c r="A406" s="389"/>
      <c r="B406" s="633"/>
      <c r="C406" s="634"/>
      <c r="D406" s="635"/>
      <c r="E406" s="624"/>
      <c r="F406" s="625"/>
      <c r="G406" s="625"/>
      <c r="H406" s="625"/>
      <c r="I406" s="626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</row>
    <row r="407" spans="1:122" s="4" customFormat="1" ht="17" customHeight="1" x14ac:dyDescent="0.3">
      <c r="A407" s="389"/>
      <c r="B407" s="633"/>
      <c r="C407" s="634"/>
      <c r="D407" s="635"/>
      <c r="E407" s="624"/>
      <c r="F407" s="625"/>
      <c r="G407" s="625"/>
      <c r="H407" s="625"/>
      <c r="I407" s="626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</row>
    <row r="408" spans="1:122" s="4" customFormat="1" ht="17" customHeight="1" x14ac:dyDescent="0.3">
      <c r="A408" s="389"/>
      <c r="B408" s="633"/>
      <c r="C408" s="634"/>
      <c r="D408" s="635"/>
      <c r="E408" s="624"/>
      <c r="F408" s="625"/>
      <c r="G408" s="625"/>
      <c r="H408" s="625"/>
      <c r="I408" s="626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</row>
    <row r="409" spans="1:122" s="4" customFormat="1" ht="17" customHeight="1" x14ac:dyDescent="0.3">
      <c r="A409" s="389"/>
      <c r="B409" s="633"/>
      <c r="C409" s="634"/>
      <c r="D409" s="635"/>
      <c r="E409" s="624"/>
      <c r="F409" s="625"/>
      <c r="G409" s="625"/>
      <c r="H409" s="625"/>
      <c r="I409" s="626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</row>
    <row r="410" spans="1:122" s="4" customFormat="1" ht="17" customHeight="1" x14ac:dyDescent="0.3">
      <c r="A410" s="389"/>
      <c r="B410" s="633"/>
      <c r="C410" s="634"/>
      <c r="D410" s="635"/>
      <c r="E410" s="624"/>
      <c r="F410" s="625"/>
      <c r="G410" s="625"/>
      <c r="H410" s="625"/>
      <c r="I410" s="626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</row>
    <row r="411" spans="1:122" s="4" customFormat="1" ht="17" customHeight="1" x14ac:dyDescent="0.3">
      <c r="A411" s="389"/>
      <c r="B411" s="633"/>
      <c r="C411" s="634"/>
      <c r="D411" s="635"/>
      <c r="E411" s="624"/>
      <c r="F411" s="625"/>
      <c r="G411" s="625"/>
      <c r="H411" s="625"/>
      <c r="I411" s="626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</row>
    <row r="412" spans="1:122" s="29" customFormat="1" ht="17" customHeight="1" x14ac:dyDescent="0.3">
      <c r="A412" s="390"/>
      <c r="B412" s="392"/>
      <c r="C412" s="234"/>
      <c r="D412" s="234"/>
      <c r="E412" s="393"/>
      <c r="F412" s="393"/>
      <c r="G412" s="234"/>
      <c r="H412" s="394"/>
      <c r="I412" s="395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  <c r="AI412" s="223"/>
      <c r="AJ412" s="223"/>
      <c r="AK412" s="223"/>
      <c r="AL412" s="223"/>
      <c r="AM412" s="223"/>
      <c r="AN412" s="223"/>
      <c r="AO412" s="223"/>
      <c r="AP412" s="223"/>
      <c r="AQ412" s="223"/>
      <c r="AR412" s="223"/>
      <c r="AS412" s="223"/>
      <c r="AT412" s="223"/>
      <c r="AU412" s="223"/>
      <c r="AV412" s="223"/>
      <c r="AW412" s="223"/>
      <c r="AX412" s="223"/>
      <c r="AY412" s="223"/>
      <c r="AZ412" s="223"/>
      <c r="BA412" s="223"/>
      <c r="BB412" s="223"/>
      <c r="BC412" s="223"/>
      <c r="BD412" s="223"/>
      <c r="BE412" s="223"/>
      <c r="BF412" s="223"/>
      <c r="BG412" s="223"/>
      <c r="BH412" s="223"/>
      <c r="BI412" s="223"/>
      <c r="BJ412" s="223"/>
      <c r="BK412" s="223"/>
      <c r="BL412" s="223"/>
      <c r="BM412" s="223"/>
      <c r="BN412" s="223"/>
      <c r="BO412" s="223"/>
      <c r="BP412" s="223"/>
      <c r="BQ412" s="223"/>
      <c r="BR412" s="223"/>
      <c r="BS412" s="223"/>
      <c r="BT412" s="223"/>
      <c r="BU412" s="223"/>
      <c r="BV412" s="223"/>
      <c r="BW412" s="223"/>
      <c r="BX412" s="223"/>
      <c r="BY412" s="223"/>
      <c r="BZ412" s="223"/>
      <c r="CA412" s="223"/>
      <c r="CB412" s="223"/>
      <c r="CC412" s="223"/>
      <c r="CD412" s="223"/>
      <c r="CE412" s="223"/>
      <c r="CF412" s="223"/>
      <c r="CG412" s="223"/>
      <c r="CH412" s="223"/>
      <c r="CI412" s="223"/>
      <c r="CJ412" s="223"/>
      <c r="CK412" s="223"/>
      <c r="CL412" s="223"/>
      <c r="CM412" s="223"/>
      <c r="CN412" s="223"/>
      <c r="CO412" s="223"/>
      <c r="CP412" s="223"/>
      <c r="CQ412" s="223"/>
      <c r="CR412" s="223"/>
      <c r="CS412" s="223"/>
      <c r="CT412" s="223"/>
      <c r="CU412" s="223"/>
      <c r="CV412" s="223"/>
      <c r="CW412" s="223"/>
      <c r="CX412" s="223"/>
      <c r="CY412" s="223"/>
      <c r="CZ412" s="223"/>
      <c r="DA412" s="223"/>
      <c r="DB412" s="223"/>
      <c r="DC412" s="223"/>
      <c r="DD412" s="223"/>
      <c r="DE412" s="223"/>
      <c r="DF412" s="223"/>
      <c r="DG412" s="223"/>
      <c r="DH412" s="223"/>
      <c r="DI412" s="223"/>
      <c r="DJ412" s="223"/>
      <c r="DK412" s="223"/>
      <c r="DL412" s="223"/>
      <c r="DM412" s="223"/>
      <c r="DN412" s="223"/>
      <c r="DO412" s="223"/>
      <c r="DP412" s="223"/>
      <c r="DQ412" s="223"/>
      <c r="DR412" s="223"/>
    </row>
    <row r="413" spans="1:122" s="4" customFormat="1" ht="17" customHeight="1" x14ac:dyDescent="0.3">
      <c r="A413" s="167"/>
      <c r="B413" s="325" t="s">
        <v>106</v>
      </c>
      <c r="C413" s="239"/>
      <c r="D413" s="239"/>
      <c r="E413" s="239"/>
      <c r="F413" s="396"/>
      <c r="G413" s="239"/>
      <c r="H413" s="173"/>
      <c r="I413" s="173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</row>
    <row r="414" spans="1:122" s="4" customFormat="1" ht="17" customHeight="1" x14ac:dyDescent="0.3">
      <c r="A414" s="167"/>
      <c r="B414" s="610"/>
      <c r="C414" s="611"/>
      <c r="D414" s="611"/>
      <c r="E414" s="611"/>
      <c r="F414" s="611"/>
      <c r="G414" s="611"/>
      <c r="H414" s="611"/>
      <c r="I414" s="612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</row>
    <row r="415" spans="1:122" s="4" customFormat="1" ht="17" customHeight="1" x14ac:dyDescent="0.3">
      <c r="A415" s="167"/>
      <c r="B415" s="610"/>
      <c r="C415" s="611"/>
      <c r="D415" s="611"/>
      <c r="E415" s="611"/>
      <c r="F415" s="611"/>
      <c r="G415" s="611"/>
      <c r="H415" s="611"/>
      <c r="I415" s="612"/>
    </row>
    <row r="416" spans="1:122" s="4" customFormat="1" ht="17" customHeight="1" x14ac:dyDescent="0.3">
      <c r="A416" s="167"/>
      <c r="B416" s="610"/>
      <c r="C416" s="611"/>
      <c r="D416" s="611"/>
      <c r="E416" s="611"/>
      <c r="F416" s="611"/>
      <c r="G416" s="611"/>
      <c r="H416" s="611"/>
      <c r="I416" s="612"/>
    </row>
    <row r="417" spans="1:10" s="4" customFormat="1" ht="17" customHeight="1" x14ac:dyDescent="0.3">
      <c r="A417" s="167"/>
      <c r="B417" s="610"/>
      <c r="C417" s="611"/>
      <c r="D417" s="611"/>
      <c r="E417" s="611"/>
      <c r="F417" s="611"/>
      <c r="G417" s="611"/>
      <c r="H417" s="611"/>
      <c r="I417" s="612"/>
    </row>
    <row r="418" spans="1:10" s="4" customFormat="1" ht="17" customHeight="1" x14ac:dyDescent="0.3">
      <c r="A418" s="167"/>
      <c r="B418" s="610"/>
      <c r="C418" s="611"/>
      <c r="D418" s="611"/>
      <c r="E418" s="611"/>
      <c r="F418" s="611"/>
      <c r="G418" s="611"/>
      <c r="H418" s="611"/>
      <c r="I418" s="612"/>
    </row>
    <row r="419" spans="1:10" s="4" customFormat="1" ht="17" customHeight="1" x14ac:dyDescent="0.3">
      <c r="A419" s="167"/>
      <c r="B419" s="610"/>
      <c r="C419" s="611"/>
      <c r="D419" s="611"/>
      <c r="E419" s="611"/>
      <c r="F419" s="611"/>
      <c r="G419" s="611"/>
      <c r="H419" s="611"/>
      <c r="I419" s="612"/>
    </row>
    <row r="420" spans="1:10" s="4" customFormat="1" ht="17" customHeight="1" x14ac:dyDescent="0.3">
      <c r="A420" s="167"/>
      <c r="B420" s="610"/>
      <c r="C420" s="611"/>
      <c r="D420" s="611"/>
      <c r="E420" s="611"/>
      <c r="F420" s="611"/>
      <c r="G420" s="611"/>
      <c r="H420" s="611"/>
      <c r="I420" s="612"/>
    </row>
    <row r="421" spans="1:10" s="29" customFormat="1" ht="17" customHeight="1" x14ac:dyDescent="0.3">
      <c r="A421" s="391"/>
      <c r="B421" s="223"/>
      <c r="C421" s="391"/>
      <c r="D421" s="223"/>
      <c r="E421" s="391"/>
      <c r="F421" s="223"/>
      <c r="G421" s="223"/>
      <c r="H421" s="395"/>
      <c r="I421" s="395"/>
      <c r="J421" s="215"/>
    </row>
    <row r="422" spans="1:10" ht="17" customHeight="1" x14ac:dyDescent="0.3">
      <c r="A422" s="155">
        <v>9</v>
      </c>
      <c r="B422" s="155"/>
      <c r="C422" s="155"/>
      <c r="D422" s="155"/>
      <c r="E422" s="172"/>
      <c r="F422" s="172"/>
      <c r="G422" s="173"/>
      <c r="H422" s="176"/>
      <c r="I422" s="173"/>
      <c r="J422" s="155"/>
    </row>
  </sheetData>
  <sheetProtection algorithmName="SHA-512" hashValue="N1kVugCPanEjIBonfwU7t2BonNnlUmr9IYqNkHf6vig1FiIqTQ49P2PKfXP77JwDs3yAztn/x6b9ktwfdotUxA==" saltValue="9iggJ2htguIdlLixArRK2Q==" spinCount="100000" sheet="1" objects="1" scenarios="1"/>
  <mergeCells count="157">
    <mergeCell ref="F299:G299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  <mergeCell ref="H256:I256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">
    <cfRule type="expression" dxfId="41" priority="49">
      <formula>_xlfn.SINGLE(ROUND($D$106,0))&lt;&gt;_xlfn.SINGLE(ROUND($G$105,0))</formula>
    </cfRule>
  </conditionalFormatting>
  <conditionalFormatting sqref="G104 D105:D106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5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1ABDFF-259F-44DA-8CA1-F2E61EED1B02}">
          <x14:formula1>
            <xm:f>'Drop Down Lists'!$A$2:$A$4</xm:f>
          </x14:formula1>
          <xm:sqref>I17:J17</xm:sqref>
        </x14:dataValidation>
        <x14:dataValidation type="list" allowBlank="1" showInputMessage="1" showErrorMessage="1" xr:uid="{43312227-20FD-4CBB-BA78-979112FD11E7}">
          <x14:formula1>
            <xm:f>'Drop Down Lists'!$A$1:$A$4</xm:f>
          </x14:formula1>
          <xm:sqref>C17:H17</xm:sqref>
        </x14:dataValidation>
        <x14:dataValidation type="list" allowBlank="1" showInputMessage="1" showErrorMessage="1" xr:uid="{DDCBD87A-44EB-4B2A-A87C-CC8848953159}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I62"/>
  <sheetViews>
    <sheetView workbookViewId="0"/>
  </sheetViews>
  <sheetFormatPr defaultColWidth="8.81640625" defaultRowHeight="12.5" x14ac:dyDescent="0.25"/>
  <cols>
    <col min="1" max="1" width="7.453125" bestFit="1" customWidth="1"/>
    <col min="2" max="2" width="11.6328125" bestFit="1" customWidth="1"/>
    <col min="3" max="3" width="30.6328125" bestFit="1" customWidth="1"/>
    <col min="4" max="5" width="9.6328125" bestFit="1" customWidth="1"/>
    <col min="6" max="6" width="10.6328125" bestFit="1" customWidth="1"/>
    <col min="7" max="7" width="12.6328125" bestFit="1" customWidth="1"/>
    <col min="8" max="8" width="14.453125" bestFit="1" customWidth="1"/>
    <col min="9" max="9" width="13.36328125" bestFit="1" customWidth="1"/>
  </cols>
  <sheetData>
    <row r="2" spans="1:3" x14ac:dyDescent="0.25">
      <c r="B2" s="143" t="s">
        <v>27</v>
      </c>
      <c r="C2" s="143" t="s">
        <v>26</v>
      </c>
    </row>
    <row r="3" spans="1:3" x14ac:dyDescent="0.25">
      <c r="A3" t="str">
        <f>Review!B46</f>
        <v>2018-19</v>
      </c>
      <c r="B3" s="70">
        <f>Review!F46</f>
        <v>107</v>
      </c>
      <c r="C3" s="70">
        <f>Review!C46</f>
        <v>232.26</v>
      </c>
    </row>
    <row r="4" spans="1:3" x14ac:dyDescent="0.25">
      <c r="A4" t="str">
        <f>Review!B47</f>
        <v>2019-20</v>
      </c>
      <c r="B4" s="70">
        <f>Review!F47</f>
        <v>291</v>
      </c>
      <c r="C4" s="70">
        <f>Review!C47</f>
        <v>546.48</v>
      </c>
    </row>
    <row r="5" spans="1:3" x14ac:dyDescent="0.25">
      <c r="A5" t="str">
        <f>Review!B48</f>
        <v>2020-21</v>
      </c>
      <c r="B5" s="70">
        <f>Review!F48</f>
        <v>340</v>
      </c>
      <c r="C5" s="70">
        <f>Review!C48</f>
        <v>546.58000000000004</v>
      </c>
    </row>
    <row r="6" spans="1:3" x14ac:dyDescent="0.25">
      <c r="A6" t="str">
        <f>Review!B49</f>
        <v>2021-22</v>
      </c>
      <c r="B6" s="70">
        <f>Review!F49</f>
        <v>625</v>
      </c>
      <c r="C6" s="70">
        <f>Review!C49</f>
        <v>675.55</v>
      </c>
    </row>
    <row r="7" spans="1:3" x14ac:dyDescent="0.25">
      <c r="A7" t="str">
        <f>Review!B50</f>
        <v>2022-23</v>
      </c>
      <c r="B7" s="70">
        <f>Review!F50</f>
        <v>763.310792780376</v>
      </c>
      <c r="C7" s="70">
        <f>Review!C50</f>
        <v>870.57</v>
      </c>
    </row>
    <row r="8" spans="1:3" x14ac:dyDescent="0.25">
      <c r="A8" t="str">
        <f>Review!B51</f>
        <v>2023-24</v>
      </c>
      <c r="B8" s="70">
        <f>Review!F51</f>
        <v>839.64187205841404</v>
      </c>
      <c r="C8" s="70">
        <f>Review!C51</f>
        <v>957.62700000000007</v>
      </c>
    </row>
    <row r="9" spans="1:3" x14ac:dyDescent="0.25">
      <c r="A9" t="str">
        <f>Review!B52</f>
        <v>2024-25</v>
      </c>
      <c r="B9" s="70">
        <f>Review!F52</f>
        <v>923.60605926425546</v>
      </c>
      <c r="C9" s="70">
        <f>Review!C52</f>
        <v>1053.3897000000002</v>
      </c>
    </row>
    <row r="22" spans="1:9" x14ac:dyDescent="0.25">
      <c r="C22" s="143" t="s">
        <v>43</v>
      </c>
    </row>
    <row r="23" spans="1:9" x14ac:dyDescent="0.25">
      <c r="B23" s="145" t="s">
        <v>119</v>
      </c>
      <c r="C23" s="144" t="s">
        <v>44</v>
      </c>
      <c r="D23" s="144" t="s">
        <v>45</v>
      </c>
      <c r="E23" s="144" t="s">
        <v>46</v>
      </c>
      <c r="F23" s="144" t="s">
        <v>47</v>
      </c>
      <c r="G23" s="144" t="s">
        <v>48</v>
      </c>
      <c r="H23" s="144"/>
      <c r="I23" s="144" t="s">
        <v>49</v>
      </c>
    </row>
    <row r="24" spans="1:9" s="143" customFormat="1" x14ac:dyDescent="0.25">
      <c r="B24" s="143" t="s">
        <v>50</v>
      </c>
      <c r="C24" s="143" t="s">
        <v>51</v>
      </c>
      <c r="D24" s="143" t="s">
        <v>52</v>
      </c>
      <c r="E24" s="143" t="s">
        <v>53</v>
      </c>
      <c r="F24" s="143" t="s">
        <v>54</v>
      </c>
      <c r="G24" s="143" t="s">
        <v>55</v>
      </c>
      <c r="H24" s="143" t="s">
        <v>56</v>
      </c>
      <c r="I24" s="143" t="s">
        <v>57</v>
      </c>
    </row>
    <row r="25" spans="1:9" x14ac:dyDescent="0.25">
      <c r="A25" t="str">
        <f>Review!B104</f>
        <v>2019-20</v>
      </c>
      <c r="B25" s="142"/>
      <c r="C25" s="104">
        <f>Review!D104</f>
        <v>-492451</v>
      </c>
      <c r="D25" s="104">
        <f>Review!E104</f>
        <v>6267021</v>
      </c>
      <c r="E25" s="104">
        <f>Review!F104</f>
        <v>5209325</v>
      </c>
      <c r="F25" s="104">
        <f>Review!G104</f>
        <v>565245</v>
      </c>
      <c r="G25" s="104">
        <f>Review!H104</f>
        <v>1057696</v>
      </c>
      <c r="H25">
        <f>Review!I104</f>
        <v>0</v>
      </c>
      <c r="I25" t="str">
        <f>Review!J104</f>
        <v>no deficit</v>
      </c>
    </row>
    <row r="26" spans="1:9" x14ac:dyDescent="0.25">
      <c r="A26" t="str">
        <f>Review!B105</f>
        <v>2020-21</v>
      </c>
      <c r="B26" s="142"/>
      <c r="C26" s="104">
        <f>Review!D105</f>
        <v>565245</v>
      </c>
      <c r="D26" s="104">
        <f>Review!E105</f>
        <v>5364017</v>
      </c>
      <c r="E26" s="104">
        <f>Review!F105</f>
        <v>4576746</v>
      </c>
      <c r="F26" s="104">
        <f>Review!G105</f>
        <v>1352516</v>
      </c>
      <c r="G26" s="104">
        <f>Review!H105</f>
        <v>787271</v>
      </c>
      <c r="H26">
        <f>Review!I105</f>
        <v>0</v>
      </c>
      <c r="I26" t="str">
        <f>Review!J105</f>
        <v>no deficit</v>
      </c>
    </row>
    <row r="27" spans="1:9" x14ac:dyDescent="0.25">
      <c r="A27" t="str">
        <f>Review!B106</f>
        <v>2021-22</v>
      </c>
      <c r="B27" s="142"/>
      <c r="C27" s="104">
        <f>Review!D106</f>
        <v>1352516</v>
      </c>
      <c r="D27" s="104">
        <f>Review!E106</f>
        <v>8367314</v>
      </c>
      <c r="E27" s="104">
        <f>Review!F106</f>
        <v>8176357</v>
      </c>
      <c r="F27" s="104">
        <f>Review!G106</f>
        <v>1543473</v>
      </c>
      <c r="G27" s="104">
        <f>Review!H106</f>
        <v>190957</v>
      </c>
      <c r="H27">
        <f>Review!I106</f>
        <v>0</v>
      </c>
      <c r="I27" t="str">
        <f>Review!J106</f>
        <v>no deficit</v>
      </c>
    </row>
    <row r="28" spans="1:9" x14ac:dyDescent="0.25">
      <c r="A28" t="str">
        <f>Review!B107</f>
        <v>2022-23</v>
      </c>
      <c r="B28" s="104">
        <f>Review!C107</f>
        <v>0</v>
      </c>
      <c r="C28" s="104">
        <f>Review!D107</f>
        <v>1543472.6318229996</v>
      </c>
      <c r="D28" s="104">
        <f>Review!E107</f>
        <v>9499913.9133786</v>
      </c>
      <c r="E28" s="104">
        <f>Review!F107</f>
        <v>9299777.0897569992</v>
      </c>
      <c r="F28" s="104">
        <f>Review!G107</f>
        <v>1743609.4554446004</v>
      </c>
      <c r="G28" s="104">
        <f>Review!H107</f>
        <v>200136.82362160087</v>
      </c>
      <c r="H28" t="str">
        <f>Review!I107</f>
        <v>No</v>
      </c>
      <c r="I28" t="str">
        <f>Review!J107</f>
        <v>no deficit</v>
      </c>
    </row>
    <row r="29" spans="1:9" x14ac:dyDescent="0.25">
      <c r="A29" t="str">
        <f>Review!B108</f>
        <v>2023-24</v>
      </c>
      <c r="B29" s="142"/>
      <c r="C29" s="104">
        <f>Review!D108</f>
        <v>1743609.4554446004</v>
      </c>
      <c r="D29" s="104">
        <f>Review!E108</f>
        <v>10809180.204716459</v>
      </c>
      <c r="E29" s="104">
        <f>Review!F108</f>
        <v>10749727.1987327</v>
      </c>
      <c r="F29" s="104">
        <f>Review!G108</f>
        <v>1803062.4614283592</v>
      </c>
      <c r="G29" s="104">
        <f>Review!H108</f>
        <v>59453.005983758718</v>
      </c>
      <c r="H29" t="str">
        <f>Review!I108</f>
        <v>No</v>
      </c>
      <c r="I29" t="str">
        <f>Review!J108</f>
        <v>no deficit</v>
      </c>
    </row>
    <row r="30" spans="1:9" x14ac:dyDescent="0.25">
      <c r="A30" t="str">
        <f>Review!B109</f>
        <v>2024-25</v>
      </c>
      <c r="B30" s="142"/>
      <c r="C30" s="104">
        <f>Review!D109</f>
        <v>1803062.4614283592</v>
      </c>
      <c r="D30" s="104">
        <f>Review!E109</f>
        <v>12315858.325188106</v>
      </c>
      <c r="E30" s="104">
        <f>Review!F109</f>
        <v>11831811.718605969</v>
      </c>
      <c r="F30" s="104">
        <f>Review!G109</f>
        <v>2287109.068010496</v>
      </c>
      <c r="G30" s="104">
        <f>Review!H109</f>
        <v>484046.60658213682</v>
      </c>
      <c r="H30" t="str">
        <f>Review!I109</f>
        <v>No</v>
      </c>
      <c r="I30" t="str">
        <f>Review!J109</f>
        <v>no deficit</v>
      </c>
    </row>
    <row r="38" spans="1:9" x14ac:dyDescent="0.25">
      <c r="C38" s="143" t="s">
        <v>58</v>
      </c>
    </row>
    <row r="39" spans="1:9" x14ac:dyDescent="0.25">
      <c r="B39" s="145" t="s">
        <v>119</v>
      </c>
      <c r="C39" s="144" t="s">
        <v>44</v>
      </c>
      <c r="D39" s="144" t="s">
        <v>45</v>
      </c>
      <c r="E39" s="144" t="s">
        <v>46</v>
      </c>
      <c r="F39" s="144" t="s">
        <v>47</v>
      </c>
      <c r="G39" s="144" t="s">
        <v>48</v>
      </c>
      <c r="H39" s="144"/>
      <c r="I39" s="144"/>
    </row>
    <row r="40" spans="1:9" s="143" customFormat="1" x14ac:dyDescent="0.25">
      <c r="B40" s="143" t="s">
        <v>50</v>
      </c>
      <c r="C40" s="143" t="s">
        <v>51</v>
      </c>
      <c r="D40" s="143" t="s">
        <v>52</v>
      </c>
      <c r="E40" s="143" t="s">
        <v>53</v>
      </c>
      <c r="F40" s="143" t="s">
        <v>54</v>
      </c>
      <c r="G40" s="143" t="s">
        <v>55</v>
      </c>
    </row>
    <row r="41" spans="1:9" x14ac:dyDescent="0.25">
      <c r="A41" t="str">
        <f>Review!B119</f>
        <v>2019-20</v>
      </c>
      <c r="B41" s="142"/>
      <c r="C41" s="104">
        <f>Review!D119</f>
        <v>0</v>
      </c>
      <c r="D41" s="104">
        <f>Review!E119</f>
        <v>848029</v>
      </c>
      <c r="E41" s="104">
        <f>Review!F119</f>
        <v>848029</v>
      </c>
      <c r="F41" s="104">
        <f>Review!G119</f>
        <v>0</v>
      </c>
      <c r="G41" s="104">
        <f>Review!H119</f>
        <v>0</v>
      </c>
    </row>
    <row r="42" spans="1:9" x14ac:dyDescent="0.25">
      <c r="A42" t="str">
        <f>Review!B120</f>
        <v>2020-21</v>
      </c>
      <c r="B42" s="142"/>
      <c r="C42" s="104">
        <f>Review!D120</f>
        <v>0</v>
      </c>
      <c r="D42" s="104">
        <f>Review!E120</f>
        <v>1914857</v>
      </c>
      <c r="E42" s="104">
        <f>Review!F120</f>
        <v>1914857</v>
      </c>
      <c r="F42" s="104">
        <f>Review!G120</f>
        <v>0</v>
      </c>
      <c r="G42" s="104">
        <f>Review!H120</f>
        <v>0</v>
      </c>
    </row>
    <row r="43" spans="1:9" x14ac:dyDescent="0.25">
      <c r="A43" t="str">
        <f>Review!B121</f>
        <v>2021-22</v>
      </c>
      <c r="B43" s="142"/>
      <c r="C43" s="104">
        <f>Review!D121</f>
        <v>0</v>
      </c>
      <c r="D43" s="104">
        <f>Review!E121</f>
        <v>1390669</v>
      </c>
      <c r="E43" s="104">
        <f>Review!F121</f>
        <v>1390669</v>
      </c>
      <c r="F43" s="104">
        <f>Review!G121</f>
        <v>0</v>
      </c>
      <c r="G43" s="104">
        <f>Review!H121</f>
        <v>0</v>
      </c>
    </row>
    <row r="44" spans="1:9" x14ac:dyDescent="0.25">
      <c r="A44" t="str">
        <f>Review!B122</f>
        <v>2022-23</v>
      </c>
      <c r="B44" s="104">
        <f>Review!C122</f>
        <v>0</v>
      </c>
      <c r="C44" s="104">
        <f>Review!D122</f>
        <v>0</v>
      </c>
      <c r="D44" s="104">
        <f>Review!E122</f>
        <v>1283553.9102429999</v>
      </c>
      <c r="E44" s="104">
        <f>Review!F122</f>
        <v>1283553.9102429999</v>
      </c>
      <c r="F44" s="104">
        <f>Review!G122</f>
        <v>0</v>
      </c>
      <c r="G44" s="104">
        <f>Review!H122</f>
        <v>0</v>
      </c>
    </row>
    <row r="45" spans="1:9" x14ac:dyDescent="0.25">
      <c r="A45" t="str">
        <f>Review!B123</f>
        <v>2023-24</v>
      </c>
      <c r="B45" s="142"/>
      <c r="C45" s="104">
        <f>Review!D123</f>
        <v>0</v>
      </c>
      <c r="D45" s="104">
        <f>Review!E123</f>
        <v>900779.80126730003</v>
      </c>
      <c r="E45" s="104">
        <f>Review!F123</f>
        <v>900779.80126730003</v>
      </c>
      <c r="F45" s="104">
        <f>Review!G123</f>
        <v>0</v>
      </c>
      <c r="G45" s="104">
        <f>Review!H123</f>
        <v>0</v>
      </c>
    </row>
    <row r="46" spans="1:9" x14ac:dyDescent="0.25">
      <c r="A46" t="str">
        <f>Review!B124</f>
        <v>2024-25</v>
      </c>
      <c r="B46" s="142"/>
      <c r="C46" s="104">
        <f>Review!D124</f>
        <v>0</v>
      </c>
      <c r="D46" s="104">
        <f>Review!E124</f>
        <v>977170.28139403008</v>
      </c>
      <c r="E46" s="104">
        <f>Review!F124</f>
        <v>977170.28139403008</v>
      </c>
      <c r="F46" s="104">
        <f>Review!G124</f>
        <v>0</v>
      </c>
      <c r="G46" s="104">
        <f>Review!H124</f>
        <v>0</v>
      </c>
    </row>
    <row r="54" spans="1:9" x14ac:dyDescent="0.25">
      <c r="C54" s="143" t="s">
        <v>59</v>
      </c>
    </row>
    <row r="55" spans="1:9" x14ac:dyDescent="0.25">
      <c r="B55" s="145" t="s">
        <v>119</v>
      </c>
      <c r="C55" s="144" t="s">
        <v>44</v>
      </c>
      <c r="D55" s="144" t="s">
        <v>45</v>
      </c>
      <c r="E55" s="144" t="s">
        <v>46</v>
      </c>
      <c r="F55" s="144" t="s">
        <v>47</v>
      </c>
      <c r="G55" s="144" t="s">
        <v>48</v>
      </c>
      <c r="H55" s="144"/>
      <c r="I55" s="144"/>
    </row>
    <row r="56" spans="1:9" s="143" customFormat="1" x14ac:dyDescent="0.25">
      <c r="B56" s="143" t="s">
        <v>50</v>
      </c>
      <c r="C56" s="143" t="s">
        <v>51</v>
      </c>
      <c r="D56" s="143" t="s">
        <v>52</v>
      </c>
      <c r="E56" s="143" t="s">
        <v>53</v>
      </c>
      <c r="F56" s="143" t="s">
        <v>54</v>
      </c>
      <c r="G56" s="143" t="s">
        <v>55</v>
      </c>
    </row>
    <row r="57" spans="1:9" x14ac:dyDescent="0.25">
      <c r="A57" t="str">
        <f>Review!B134</f>
        <v>2019-20</v>
      </c>
      <c r="B57" s="142"/>
      <c r="C57" s="104">
        <f>Review!D134</f>
        <v>-492451</v>
      </c>
      <c r="D57" s="104">
        <f>Review!E134</f>
        <v>7115050</v>
      </c>
      <c r="E57" s="104">
        <f>Review!F134</f>
        <v>6057354</v>
      </c>
      <c r="F57" s="104">
        <f>Review!G134</f>
        <v>565245</v>
      </c>
      <c r="G57" s="104">
        <f>Review!H134</f>
        <v>1057696</v>
      </c>
    </row>
    <row r="58" spans="1:9" x14ac:dyDescent="0.25">
      <c r="A58" t="str">
        <f>Review!B135</f>
        <v>2020-21</v>
      </c>
      <c r="B58" s="142"/>
      <c r="C58" s="104">
        <f>Review!D135</f>
        <v>565245</v>
      </c>
      <c r="D58" s="104">
        <f>Review!E135</f>
        <v>7278874</v>
      </c>
      <c r="E58" s="104">
        <f>Review!F135</f>
        <v>6491603</v>
      </c>
      <c r="F58" s="104">
        <f>Review!G135</f>
        <v>1352516</v>
      </c>
      <c r="G58" s="104">
        <f>Review!H135</f>
        <v>787271</v>
      </c>
    </row>
    <row r="59" spans="1:9" x14ac:dyDescent="0.25">
      <c r="A59" t="str">
        <f>Review!B136</f>
        <v>2021-22</v>
      </c>
      <c r="B59" s="142"/>
      <c r="C59" s="104">
        <f>Review!D136</f>
        <v>1352516</v>
      </c>
      <c r="D59" s="104">
        <f>Review!E136</f>
        <v>9757983</v>
      </c>
      <c r="E59" s="104">
        <f>Review!F136</f>
        <v>9567026</v>
      </c>
      <c r="F59" s="104">
        <f>Review!G136</f>
        <v>1543473</v>
      </c>
      <c r="G59" s="104">
        <f>Review!H136</f>
        <v>190957</v>
      </c>
    </row>
    <row r="60" spans="1:9" x14ac:dyDescent="0.25">
      <c r="A60" t="str">
        <f>Review!B137</f>
        <v>2022-23</v>
      </c>
      <c r="B60" s="104">
        <f>Review!C137</f>
        <v>0</v>
      </c>
      <c r="C60" s="104">
        <f>Review!D137</f>
        <v>1543472.6318229996</v>
      </c>
      <c r="D60" s="104">
        <f>Review!E137</f>
        <v>10783467.823621601</v>
      </c>
      <c r="E60" s="104">
        <f>Review!F137</f>
        <v>10583331</v>
      </c>
      <c r="F60" s="104">
        <f>Review!G137</f>
        <v>1743609.4554446004</v>
      </c>
      <c r="G60" s="104">
        <f>Review!H137</f>
        <v>200136.82362160087</v>
      </c>
    </row>
    <row r="61" spans="1:9" x14ac:dyDescent="0.25">
      <c r="A61" t="str">
        <f>Review!B138</f>
        <v>2023-24</v>
      </c>
      <c r="B61" s="142"/>
      <c r="C61" s="104">
        <f>Review!D138</f>
        <v>1743609.4554446004</v>
      </c>
      <c r="D61" s="104">
        <f>Review!E138</f>
        <v>11709960.005983759</v>
      </c>
      <c r="E61" s="104">
        <f>Review!F138</f>
        <v>11650507</v>
      </c>
      <c r="F61" s="104">
        <f>Review!G138</f>
        <v>1803062.4614283592</v>
      </c>
      <c r="G61" s="104">
        <f>Review!H138</f>
        <v>59453.005983758718</v>
      </c>
    </row>
    <row r="62" spans="1:9" x14ac:dyDescent="0.25">
      <c r="A62" t="str">
        <f>Review!B139</f>
        <v>2024-25</v>
      </c>
      <c r="B62" s="142"/>
      <c r="C62" s="104">
        <f>Review!D139</f>
        <v>1803062.4614283592</v>
      </c>
      <c r="D62" s="104">
        <f>Review!E139</f>
        <v>13293028.606582137</v>
      </c>
      <c r="E62" s="104">
        <f>Review!F139</f>
        <v>12808982</v>
      </c>
      <c r="F62" s="104">
        <f>Review!G139</f>
        <v>2287109.068010496</v>
      </c>
      <c r="G62" s="104">
        <f>Review!H139</f>
        <v>484046.60658213682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550-30F2-44E8-A27C-1089076D3174}">
  <dimension ref="A1:J154"/>
  <sheetViews>
    <sheetView workbookViewId="0">
      <selection activeCell="C6" sqref="C6"/>
    </sheetView>
  </sheetViews>
  <sheetFormatPr defaultColWidth="8.81640625" defaultRowHeight="13" x14ac:dyDescent="0.3"/>
  <cols>
    <col min="1" max="1" width="56.81640625" style="550" customWidth="1"/>
    <col min="2" max="2" width="17" style="550" customWidth="1"/>
    <col min="3" max="3" width="14" style="550" customWidth="1"/>
    <col min="4" max="4" width="14.81640625" style="550" customWidth="1"/>
    <col min="5" max="5" width="14" style="550" customWidth="1"/>
    <col min="6" max="8" width="9.1796875" style="550"/>
    <col min="9" max="9" width="19" style="550" customWidth="1"/>
    <col min="10" max="10" width="23.6328125" style="550" customWidth="1"/>
    <col min="11" max="256" width="9.1796875" style="550"/>
    <col min="257" max="257" width="56.81640625" style="550" customWidth="1"/>
    <col min="258" max="258" width="17" style="550" customWidth="1"/>
    <col min="259" max="259" width="14" style="550" customWidth="1"/>
    <col min="260" max="260" width="14.81640625" style="550" customWidth="1"/>
    <col min="261" max="261" width="14" style="550" customWidth="1"/>
    <col min="262" max="264" width="9.1796875" style="550"/>
    <col min="265" max="265" width="19" style="550" customWidth="1"/>
    <col min="266" max="266" width="23.6328125" style="550" customWidth="1"/>
    <col min="267" max="512" width="9.1796875" style="550"/>
    <col min="513" max="513" width="56.81640625" style="550" customWidth="1"/>
    <col min="514" max="514" width="17" style="550" customWidth="1"/>
    <col min="515" max="515" width="14" style="550" customWidth="1"/>
    <col min="516" max="516" width="14.81640625" style="550" customWidth="1"/>
    <col min="517" max="517" width="14" style="550" customWidth="1"/>
    <col min="518" max="520" width="9.1796875" style="550"/>
    <col min="521" max="521" width="19" style="550" customWidth="1"/>
    <col min="522" max="522" width="23.6328125" style="550" customWidth="1"/>
    <col min="523" max="768" width="9.1796875" style="550"/>
    <col min="769" max="769" width="56.81640625" style="550" customWidth="1"/>
    <col min="770" max="770" width="17" style="550" customWidth="1"/>
    <col min="771" max="771" width="14" style="550" customWidth="1"/>
    <col min="772" max="772" width="14.81640625" style="550" customWidth="1"/>
    <col min="773" max="773" width="14" style="550" customWidth="1"/>
    <col min="774" max="776" width="9.1796875" style="550"/>
    <col min="777" max="777" width="19" style="550" customWidth="1"/>
    <col min="778" max="778" width="23.6328125" style="550" customWidth="1"/>
    <col min="779" max="1024" width="9.1796875" style="550"/>
    <col min="1025" max="1025" width="56.81640625" style="550" customWidth="1"/>
    <col min="1026" max="1026" width="17" style="550" customWidth="1"/>
    <col min="1027" max="1027" width="14" style="550" customWidth="1"/>
    <col min="1028" max="1028" width="14.81640625" style="550" customWidth="1"/>
    <col min="1029" max="1029" width="14" style="550" customWidth="1"/>
    <col min="1030" max="1032" width="9.1796875" style="550"/>
    <col min="1033" max="1033" width="19" style="550" customWidth="1"/>
    <col min="1034" max="1034" width="23.6328125" style="550" customWidth="1"/>
    <col min="1035" max="1280" width="9.1796875" style="550"/>
    <col min="1281" max="1281" width="56.81640625" style="550" customWidth="1"/>
    <col min="1282" max="1282" width="17" style="550" customWidth="1"/>
    <col min="1283" max="1283" width="14" style="550" customWidth="1"/>
    <col min="1284" max="1284" width="14.81640625" style="550" customWidth="1"/>
    <col min="1285" max="1285" width="14" style="550" customWidth="1"/>
    <col min="1286" max="1288" width="9.1796875" style="550"/>
    <col min="1289" max="1289" width="19" style="550" customWidth="1"/>
    <col min="1290" max="1290" width="23.6328125" style="550" customWidth="1"/>
    <col min="1291" max="1536" width="9.1796875" style="550"/>
    <col min="1537" max="1537" width="56.81640625" style="550" customWidth="1"/>
    <col min="1538" max="1538" width="17" style="550" customWidth="1"/>
    <col min="1539" max="1539" width="14" style="550" customWidth="1"/>
    <col min="1540" max="1540" width="14.81640625" style="550" customWidth="1"/>
    <col min="1541" max="1541" width="14" style="550" customWidth="1"/>
    <col min="1542" max="1544" width="9.1796875" style="550"/>
    <col min="1545" max="1545" width="19" style="550" customWidth="1"/>
    <col min="1546" max="1546" width="23.6328125" style="550" customWidth="1"/>
    <col min="1547" max="1792" width="9.1796875" style="550"/>
    <col min="1793" max="1793" width="56.81640625" style="550" customWidth="1"/>
    <col min="1794" max="1794" width="17" style="550" customWidth="1"/>
    <col min="1795" max="1795" width="14" style="550" customWidth="1"/>
    <col min="1796" max="1796" width="14.81640625" style="550" customWidth="1"/>
    <col min="1797" max="1797" width="14" style="550" customWidth="1"/>
    <col min="1798" max="1800" width="9.1796875" style="550"/>
    <col min="1801" max="1801" width="19" style="550" customWidth="1"/>
    <col min="1802" max="1802" width="23.6328125" style="550" customWidth="1"/>
    <col min="1803" max="2048" width="9.1796875" style="550"/>
    <col min="2049" max="2049" width="56.81640625" style="550" customWidth="1"/>
    <col min="2050" max="2050" width="17" style="550" customWidth="1"/>
    <col min="2051" max="2051" width="14" style="550" customWidth="1"/>
    <col min="2052" max="2052" width="14.81640625" style="550" customWidth="1"/>
    <col min="2053" max="2053" width="14" style="550" customWidth="1"/>
    <col min="2054" max="2056" width="9.1796875" style="550"/>
    <col min="2057" max="2057" width="19" style="550" customWidth="1"/>
    <col min="2058" max="2058" width="23.6328125" style="550" customWidth="1"/>
    <col min="2059" max="2304" width="9.1796875" style="550"/>
    <col min="2305" max="2305" width="56.81640625" style="550" customWidth="1"/>
    <col min="2306" max="2306" width="17" style="550" customWidth="1"/>
    <col min="2307" max="2307" width="14" style="550" customWidth="1"/>
    <col min="2308" max="2308" width="14.81640625" style="550" customWidth="1"/>
    <col min="2309" max="2309" width="14" style="550" customWidth="1"/>
    <col min="2310" max="2312" width="9.1796875" style="550"/>
    <col min="2313" max="2313" width="19" style="550" customWidth="1"/>
    <col min="2314" max="2314" width="23.6328125" style="550" customWidth="1"/>
    <col min="2315" max="2560" width="9.1796875" style="550"/>
    <col min="2561" max="2561" width="56.81640625" style="550" customWidth="1"/>
    <col min="2562" max="2562" width="17" style="550" customWidth="1"/>
    <col min="2563" max="2563" width="14" style="550" customWidth="1"/>
    <col min="2564" max="2564" width="14.81640625" style="550" customWidth="1"/>
    <col min="2565" max="2565" width="14" style="550" customWidth="1"/>
    <col min="2566" max="2568" width="9.1796875" style="550"/>
    <col min="2569" max="2569" width="19" style="550" customWidth="1"/>
    <col min="2570" max="2570" width="23.6328125" style="550" customWidth="1"/>
    <col min="2571" max="2816" width="9.1796875" style="550"/>
    <col min="2817" max="2817" width="56.81640625" style="550" customWidth="1"/>
    <col min="2818" max="2818" width="17" style="550" customWidth="1"/>
    <col min="2819" max="2819" width="14" style="550" customWidth="1"/>
    <col min="2820" max="2820" width="14.81640625" style="550" customWidth="1"/>
    <col min="2821" max="2821" width="14" style="550" customWidth="1"/>
    <col min="2822" max="2824" width="9.1796875" style="550"/>
    <col min="2825" max="2825" width="19" style="550" customWidth="1"/>
    <col min="2826" max="2826" width="23.6328125" style="550" customWidth="1"/>
    <col min="2827" max="3072" width="9.1796875" style="550"/>
    <col min="3073" max="3073" width="56.81640625" style="550" customWidth="1"/>
    <col min="3074" max="3074" width="17" style="550" customWidth="1"/>
    <col min="3075" max="3075" width="14" style="550" customWidth="1"/>
    <col min="3076" max="3076" width="14.81640625" style="550" customWidth="1"/>
    <col min="3077" max="3077" width="14" style="550" customWidth="1"/>
    <col min="3078" max="3080" width="9.1796875" style="550"/>
    <col min="3081" max="3081" width="19" style="550" customWidth="1"/>
    <col min="3082" max="3082" width="23.6328125" style="550" customWidth="1"/>
    <col min="3083" max="3328" width="9.1796875" style="550"/>
    <col min="3329" max="3329" width="56.81640625" style="550" customWidth="1"/>
    <col min="3330" max="3330" width="17" style="550" customWidth="1"/>
    <col min="3331" max="3331" width="14" style="550" customWidth="1"/>
    <col min="3332" max="3332" width="14.81640625" style="550" customWidth="1"/>
    <col min="3333" max="3333" width="14" style="550" customWidth="1"/>
    <col min="3334" max="3336" width="9.1796875" style="550"/>
    <col min="3337" max="3337" width="19" style="550" customWidth="1"/>
    <col min="3338" max="3338" width="23.6328125" style="550" customWidth="1"/>
    <col min="3339" max="3584" width="9.1796875" style="550"/>
    <col min="3585" max="3585" width="56.81640625" style="550" customWidth="1"/>
    <col min="3586" max="3586" width="17" style="550" customWidth="1"/>
    <col min="3587" max="3587" width="14" style="550" customWidth="1"/>
    <col min="3588" max="3588" width="14.81640625" style="550" customWidth="1"/>
    <col min="3589" max="3589" width="14" style="550" customWidth="1"/>
    <col min="3590" max="3592" width="9.1796875" style="550"/>
    <col min="3593" max="3593" width="19" style="550" customWidth="1"/>
    <col min="3594" max="3594" width="23.6328125" style="550" customWidth="1"/>
    <col min="3595" max="3840" width="9.1796875" style="550"/>
    <col min="3841" max="3841" width="56.81640625" style="550" customWidth="1"/>
    <col min="3842" max="3842" width="17" style="550" customWidth="1"/>
    <col min="3843" max="3843" width="14" style="550" customWidth="1"/>
    <col min="3844" max="3844" width="14.81640625" style="550" customWidth="1"/>
    <col min="3845" max="3845" width="14" style="550" customWidth="1"/>
    <col min="3846" max="3848" width="9.1796875" style="550"/>
    <col min="3849" max="3849" width="19" style="550" customWidth="1"/>
    <col min="3850" max="3850" width="23.6328125" style="550" customWidth="1"/>
    <col min="3851" max="4096" width="9.1796875" style="550"/>
    <col min="4097" max="4097" width="56.81640625" style="550" customWidth="1"/>
    <col min="4098" max="4098" width="17" style="550" customWidth="1"/>
    <col min="4099" max="4099" width="14" style="550" customWidth="1"/>
    <col min="4100" max="4100" width="14.81640625" style="550" customWidth="1"/>
    <col min="4101" max="4101" width="14" style="550" customWidth="1"/>
    <col min="4102" max="4104" width="9.1796875" style="550"/>
    <col min="4105" max="4105" width="19" style="550" customWidth="1"/>
    <col min="4106" max="4106" width="23.6328125" style="550" customWidth="1"/>
    <col min="4107" max="4352" width="9.1796875" style="550"/>
    <col min="4353" max="4353" width="56.81640625" style="550" customWidth="1"/>
    <col min="4354" max="4354" width="17" style="550" customWidth="1"/>
    <col min="4355" max="4355" width="14" style="550" customWidth="1"/>
    <col min="4356" max="4356" width="14.81640625" style="550" customWidth="1"/>
    <col min="4357" max="4357" width="14" style="550" customWidth="1"/>
    <col min="4358" max="4360" width="9.1796875" style="550"/>
    <col min="4361" max="4361" width="19" style="550" customWidth="1"/>
    <col min="4362" max="4362" width="23.6328125" style="550" customWidth="1"/>
    <col min="4363" max="4608" width="9.1796875" style="550"/>
    <col min="4609" max="4609" width="56.81640625" style="550" customWidth="1"/>
    <col min="4610" max="4610" width="17" style="550" customWidth="1"/>
    <col min="4611" max="4611" width="14" style="550" customWidth="1"/>
    <col min="4612" max="4612" width="14.81640625" style="550" customWidth="1"/>
    <col min="4613" max="4613" width="14" style="550" customWidth="1"/>
    <col min="4614" max="4616" width="9.1796875" style="550"/>
    <col min="4617" max="4617" width="19" style="550" customWidth="1"/>
    <col min="4618" max="4618" width="23.6328125" style="550" customWidth="1"/>
    <col min="4619" max="4864" width="9.1796875" style="550"/>
    <col min="4865" max="4865" width="56.81640625" style="550" customWidth="1"/>
    <col min="4866" max="4866" width="17" style="550" customWidth="1"/>
    <col min="4867" max="4867" width="14" style="550" customWidth="1"/>
    <col min="4868" max="4868" width="14.81640625" style="550" customWidth="1"/>
    <col min="4869" max="4869" width="14" style="550" customWidth="1"/>
    <col min="4870" max="4872" width="9.1796875" style="550"/>
    <col min="4873" max="4873" width="19" style="550" customWidth="1"/>
    <col min="4874" max="4874" width="23.6328125" style="550" customWidth="1"/>
    <col min="4875" max="5120" width="9.1796875" style="550"/>
    <col min="5121" max="5121" width="56.81640625" style="550" customWidth="1"/>
    <col min="5122" max="5122" width="17" style="550" customWidth="1"/>
    <col min="5123" max="5123" width="14" style="550" customWidth="1"/>
    <col min="5124" max="5124" width="14.81640625" style="550" customWidth="1"/>
    <col min="5125" max="5125" width="14" style="550" customWidth="1"/>
    <col min="5126" max="5128" width="9.1796875" style="550"/>
    <col min="5129" max="5129" width="19" style="550" customWidth="1"/>
    <col min="5130" max="5130" width="23.6328125" style="550" customWidth="1"/>
    <col min="5131" max="5376" width="9.1796875" style="550"/>
    <col min="5377" max="5377" width="56.81640625" style="550" customWidth="1"/>
    <col min="5378" max="5378" width="17" style="550" customWidth="1"/>
    <col min="5379" max="5379" width="14" style="550" customWidth="1"/>
    <col min="5380" max="5380" width="14.81640625" style="550" customWidth="1"/>
    <col min="5381" max="5381" width="14" style="550" customWidth="1"/>
    <col min="5382" max="5384" width="9.1796875" style="550"/>
    <col min="5385" max="5385" width="19" style="550" customWidth="1"/>
    <col min="5386" max="5386" width="23.6328125" style="550" customWidth="1"/>
    <col min="5387" max="5632" width="9.1796875" style="550"/>
    <col min="5633" max="5633" width="56.81640625" style="550" customWidth="1"/>
    <col min="5634" max="5634" width="17" style="550" customWidth="1"/>
    <col min="5635" max="5635" width="14" style="550" customWidth="1"/>
    <col min="5636" max="5636" width="14.81640625" style="550" customWidth="1"/>
    <col min="5637" max="5637" width="14" style="550" customWidth="1"/>
    <col min="5638" max="5640" width="9.1796875" style="550"/>
    <col min="5641" max="5641" width="19" style="550" customWidth="1"/>
    <col min="5642" max="5642" width="23.6328125" style="550" customWidth="1"/>
    <col min="5643" max="5888" width="9.1796875" style="550"/>
    <col min="5889" max="5889" width="56.81640625" style="550" customWidth="1"/>
    <col min="5890" max="5890" width="17" style="550" customWidth="1"/>
    <col min="5891" max="5891" width="14" style="550" customWidth="1"/>
    <col min="5892" max="5892" width="14.81640625" style="550" customWidth="1"/>
    <col min="5893" max="5893" width="14" style="550" customWidth="1"/>
    <col min="5894" max="5896" width="9.1796875" style="550"/>
    <col min="5897" max="5897" width="19" style="550" customWidth="1"/>
    <col min="5898" max="5898" width="23.6328125" style="550" customWidth="1"/>
    <col min="5899" max="6144" width="9.1796875" style="550"/>
    <col min="6145" max="6145" width="56.81640625" style="550" customWidth="1"/>
    <col min="6146" max="6146" width="17" style="550" customWidth="1"/>
    <col min="6147" max="6147" width="14" style="550" customWidth="1"/>
    <col min="6148" max="6148" width="14.81640625" style="550" customWidth="1"/>
    <col min="6149" max="6149" width="14" style="550" customWidth="1"/>
    <col min="6150" max="6152" width="9.1796875" style="550"/>
    <col min="6153" max="6153" width="19" style="550" customWidth="1"/>
    <col min="6154" max="6154" width="23.6328125" style="550" customWidth="1"/>
    <col min="6155" max="6400" width="9.1796875" style="550"/>
    <col min="6401" max="6401" width="56.81640625" style="550" customWidth="1"/>
    <col min="6402" max="6402" width="17" style="550" customWidth="1"/>
    <col min="6403" max="6403" width="14" style="550" customWidth="1"/>
    <col min="6404" max="6404" width="14.81640625" style="550" customWidth="1"/>
    <col min="6405" max="6405" width="14" style="550" customWidth="1"/>
    <col min="6406" max="6408" width="9.1796875" style="550"/>
    <col min="6409" max="6409" width="19" style="550" customWidth="1"/>
    <col min="6410" max="6410" width="23.6328125" style="550" customWidth="1"/>
    <col min="6411" max="6656" width="9.1796875" style="550"/>
    <col min="6657" max="6657" width="56.81640625" style="550" customWidth="1"/>
    <col min="6658" max="6658" width="17" style="550" customWidth="1"/>
    <col min="6659" max="6659" width="14" style="550" customWidth="1"/>
    <col min="6660" max="6660" width="14.81640625" style="550" customWidth="1"/>
    <col min="6661" max="6661" width="14" style="550" customWidth="1"/>
    <col min="6662" max="6664" width="9.1796875" style="550"/>
    <col min="6665" max="6665" width="19" style="550" customWidth="1"/>
    <col min="6666" max="6666" width="23.6328125" style="550" customWidth="1"/>
    <col min="6667" max="6912" width="9.1796875" style="550"/>
    <col min="6913" max="6913" width="56.81640625" style="550" customWidth="1"/>
    <col min="6914" max="6914" width="17" style="550" customWidth="1"/>
    <col min="6915" max="6915" width="14" style="550" customWidth="1"/>
    <col min="6916" max="6916" width="14.81640625" style="550" customWidth="1"/>
    <col min="6917" max="6917" width="14" style="550" customWidth="1"/>
    <col min="6918" max="6920" width="9.1796875" style="550"/>
    <col min="6921" max="6921" width="19" style="550" customWidth="1"/>
    <col min="6922" max="6922" width="23.6328125" style="550" customWidth="1"/>
    <col min="6923" max="7168" width="9.1796875" style="550"/>
    <col min="7169" max="7169" width="56.81640625" style="550" customWidth="1"/>
    <col min="7170" max="7170" width="17" style="550" customWidth="1"/>
    <col min="7171" max="7171" width="14" style="550" customWidth="1"/>
    <col min="7172" max="7172" width="14.81640625" style="550" customWidth="1"/>
    <col min="7173" max="7173" width="14" style="550" customWidth="1"/>
    <col min="7174" max="7176" width="9.1796875" style="550"/>
    <col min="7177" max="7177" width="19" style="550" customWidth="1"/>
    <col min="7178" max="7178" width="23.6328125" style="550" customWidth="1"/>
    <col min="7179" max="7424" width="9.1796875" style="550"/>
    <col min="7425" max="7425" width="56.81640625" style="550" customWidth="1"/>
    <col min="7426" max="7426" width="17" style="550" customWidth="1"/>
    <col min="7427" max="7427" width="14" style="550" customWidth="1"/>
    <col min="7428" max="7428" width="14.81640625" style="550" customWidth="1"/>
    <col min="7429" max="7429" width="14" style="550" customWidth="1"/>
    <col min="7430" max="7432" width="9.1796875" style="550"/>
    <col min="7433" max="7433" width="19" style="550" customWidth="1"/>
    <col min="7434" max="7434" width="23.6328125" style="550" customWidth="1"/>
    <col min="7435" max="7680" width="9.1796875" style="550"/>
    <col min="7681" max="7681" width="56.81640625" style="550" customWidth="1"/>
    <col min="7682" max="7682" width="17" style="550" customWidth="1"/>
    <col min="7683" max="7683" width="14" style="550" customWidth="1"/>
    <col min="7684" max="7684" width="14.81640625" style="550" customWidth="1"/>
    <col min="7685" max="7685" width="14" style="550" customWidth="1"/>
    <col min="7686" max="7688" width="9.1796875" style="550"/>
    <col min="7689" max="7689" width="19" style="550" customWidth="1"/>
    <col min="7690" max="7690" width="23.6328125" style="550" customWidth="1"/>
    <col min="7691" max="7936" width="9.1796875" style="550"/>
    <col min="7937" max="7937" width="56.81640625" style="550" customWidth="1"/>
    <col min="7938" max="7938" width="17" style="550" customWidth="1"/>
    <col min="7939" max="7939" width="14" style="550" customWidth="1"/>
    <col min="7940" max="7940" width="14.81640625" style="550" customWidth="1"/>
    <col min="7941" max="7941" width="14" style="550" customWidth="1"/>
    <col min="7942" max="7944" width="9.1796875" style="550"/>
    <col min="7945" max="7945" width="19" style="550" customWidth="1"/>
    <col min="7946" max="7946" width="23.6328125" style="550" customWidth="1"/>
    <col min="7947" max="8192" width="9.1796875" style="550"/>
    <col min="8193" max="8193" width="56.81640625" style="550" customWidth="1"/>
    <col min="8194" max="8194" width="17" style="550" customWidth="1"/>
    <col min="8195" max="8195" width="14" style="550" customWidth="1"/>
    <col min="8196" max="8196" width="14.81640625" style="550" customWidth="1"/>
    <col min="8197" max="8197" width="14" style="550" customWidth="1"/>
    <col min="8198" max="8200" width="9.1796875" style="550"/>
    <col min="8201" max="8201" width="19" style="550" customWidth="1"/>
    <col min="8202" max="8202" width="23.6328125" style="550" customWidth="1"/>
    <col min="8203" max="8448" width="9.1796875" style="550"/>
    <col min="8449" max="8449" width="56.81640625" style="550" customWidth="1"/>
    <col min="8450" max="8450" width="17" style="550" customWidth="1"/>
    <col min="8451" max="8451" width="14" style="550" customWidth="1"/>
    <col min="8452" max="8452" width="14.81640625" style="550" customWidth="1"/>
    <col min="8453" max="8453" width="14" style="550" customWidth="1"/>
    <col min="8454" max="8456" width="9.1796875" style="550"/>
    <col min="8457" max="8457" width="19" style="550" customWidth="1"/>
    <col min="8458" max="8458" width="23.6328125" style="550" customWidth="1"/>
    <col min="8459" max="8704" width="9.1796875" style="550"/>
    <col min="8705" max="8705" width="56.81640625" style="550" customWidth="1"/>
    <col min="8706" max="8706" width="17" style="550" customWidth="1"/>
    <col min="8707" max="8707" width="14" style="550" customWidth="1"/>
    <col min="8708" max="8708" width="14.81640625" style="550" customWidth="1"/>
    <col min="8709" max="8709" width="14" style="550" customWidth="1"/>
    <col min="8710" max="8712" width="9.1796875" style="550"/>
    <col min="8713" max="8713" width="19" style="550" customWidth="1"/>
    <col min="8714" max="8714" width="23.6328125" style="550" customWidth="1"/>
    <col min="8715" max="8960" width="9.1796875" style="550"/>
    <col min="8961" max="8961" width="56.81640625" style="550" customWidth="1"/>
    <col min="8962" max="8962" width="17" style="550" customWidth="1"/>
    <col min="8963" max="8963" width="14" style="550" customWidth="1"/>
    <col min="8964" max="8964" width="14.81640625" style="550" customWidth="1"/>
    <col min="8965" max="8965" width="14" style="550" customWidth="1"/>
    <col min="8966" max="8968" width="9.1796875" style="550"/>
    <col min="8969" max="8969" width="19" style="550" customWidth="1"/>
    <col min="8970" max="8970" width="23.6328125" style="550" customWidth="1"/>
    <col min="8971" max="9216" width="9.1796875" style="550"/>
    <col min="9217" max="9217" width="56.81640625" style="550" customWidth="1"/>
    <col min="9218" max="9218" width="17" style="550" customWidth="1"/>
    <col min="9219" max="9219" width="14" style="550" customWidth="1"/>
    <col min="9220" max="9220" width="14.81640625" style="550" customWidth="1"/>
    <col min="9221" max="9221" width="14" style="550" customWidth="1"/>
    <col min="9222" max="9224" width="9.1796875" style="550"/>
    <col min="9225" max="9225" width="19" style="550" customWidth="1"/>
    <col min="9226" max="9226" width="23.6328125" style="550" customWidth="1"/>
    <col min="9227" max="9472" width="9.1796875" style="550"/>
    <col min="9473" max="9473" width="56.81640625" style="550" customWidth="1"/>
    <col min="9474" max="9474" width="17" style="550" customWidth="1"/>
    <col min="9475" max="9475" width="14" style="550" customWidth="1"/>
    <col min="9476" max="9476" width="14.81640625" style="550" customWidth="1"/>
    <col min="9477" max="9477" width="14" style="550" customWidth="1"/>
    <col min="9478" max="9480" width="9.1796875" style="550"/>
    <col min="9481" max="9481" width="19" style="550" customWidth="1"/>
    <col min="9482" max="9482" width="23.6328125" style="550" customWidth="1"/>
    <col min="9483" max="9728" width="9.1796875" style="550"/>
    <col min="9729" max="9729" width="56.81640625" style="550" customWidth="1"/>
    <col min="9730" max="9730" width="17" style="550" customWidth="1"/>
    <col min="9731" max="9731" width="14" style="550" customWidth="1"/>
    <col min="9732" max="9732" width="14.81640625" style="550" customWidth="1"/>
    <col min="9733" max="9733" width="14" style="550" customWidth="1"/>
    <col min="9734" max="9736" width="9.1796875" style="550"/>
    <col min="9737" max="9737" width="19" style="550" customWidth="1"/>
    <col min="9738" max="9738" width="23.6328125" style="550" customWidth="1"/>
    <col min="9739" max="9984" width="9.1796875" style="550"/>
    <col min="9985" max="9985" width="56.81640625" style="550" customWidth="1"/>
    <col min="9986" max="9986" width="17" style="550" customWidth="1"/>
    <col min="9987" max="9987" width="14" style="550" customWidth="1"/>
    <col min="9988" max="9988" width="14.81640625" style="550" customWidth="1"/>
    <col min="9989" max="9989" width="14" style="550" customWidth="1"/>
    <col min="9990" max="9992" width="9.1796875" style="550"/>
    <col min="9993" max="9993" width="19" style="550" customWidth="1"/>
    <col min="9994" max="9994" width="23.6328125" style="550" customWidth="1"/>
    <col min="9995" max="10240" width="9.1796875" style="550"/>
    <col min="10241" max="10241" width="56.81640625" style="550" customWidth="1"/>
    <col min="10242" max="10242" width="17" style="550" customWidth="1"/>
    <col min="10243" max="10243" width="14" style="550" customWidth="1"/>
    <col min="10244" max="10244" width="14.81640625" style="550" customWidth="1"/>
    <col min="10245" max="10245" width="14" style="550" customWidth="1"/>
    <col min="10246" max="10248" width="9.1796875" style="550"/>
    <col min="10249" max="10249" width="19" style="550" customWidth="1"/>
    <col min="10250" max="10250" width="23.6328125" style="550" customWidth="1"/>
    <col min="10251" max="10496" width="9.1796875" style="550"/>
    <col min="10497" max="10497" width="56.81640625" style="550" customWidth="1"/>
    <col min="10498" max="10498" width="17" style="550" customWidth="1"/>
    <col min="10499" max="10499" width="14" style="550" customWidth="1"/>
    <col min="10500" max="10500" width="14.81640625" style="550" customWidth="1"/>
    <col min="10501" max="10501" width="14" style="550" customWidth="1"/>
    <col min="10502" max="10504" width="9.1796875" style="550"/>
    <col min="10505" max="10505" width="19" style="550" customWidth="1"/>
    <col min="10506" max="10506" width="23.6328125" style="550" customWidth="1"/>
    <col min="10507" max="10752" width="9.1796875" style="550"/>
    <col min="10753" max="10753" width="56.81640625" style="550" customWidth="1"/>
    <col min="10754" max="10754" width="17" style="550" customWidth="1"/>
    <col min="10755" max="10755" width="14" style="550" customWidth="1"/>
    <col min="10756" max="10756" width="14.81640625" style="550" customWidth="1"/>
    <col min="10757" max="10757" width="14" style="550" customWidth="1"/>
    <col min="10758" max="10760" width="9.1796875" style="550"/>
    <col min="10761" max="10761" width="19" style="550" customWidth="1"/>
    <col min="10762" max="10762" width="23.6328125" style="550" customWidth="1"/>
    <col min="10763" max="11008" width="9.1796875" style="550"/>
    <col min="11009" max="11009" width="56.81640625" style="550" customWidth="1"/>
    <col min="11010" max="11010" width="17" style="550" customWidth="1"/>
    <col min="11011" max="11011" width="14" style="550" customWidth="1"/>
    <col min="11012" max="11012" width="14.81640625" style="550" customWidth="1"/>
    <col min="11013" max="11013" width="14" style="550" customWidth="1"/>
    <col min="11014" max="11016" width="9.1796875" style="550"/>
    <col min="11017" max="11017" width="19" style="550" customWidth="1"/>
    <col min="11018" max="11018" width="23.6328125" style="550" customWidth="1"/>
    <col min="11019" max="11264" width="9.1796875" style="550"/>
    <col min="11265" max="11265" width="56.81640625" style="550" customWidth="1"/>
    <col min="11266" max="11266" width="17" style="550" customWidth="1"/>
    <col min="11267" max="11267" width="14" style="550" customWidth="1"/>
    <col min="11268" max="11268" width="14.81640625" style="550" customWidth="1"/>
    <col min="11269" max="11269" width="14" style="550" customWidth="1"/>
    <col min="11270" max="11272" width="9.1796875" style="550"/>
    <col min="11273" max="11273" width="19" style="550" customWidth="1"/>
    <col min="11274" max="11274" width="23.6328125" style="550" customWidth="1"/>
    <col min="11275" max="11520" width="9.1796875" style="550"/>
    <col min="11521" max="11521" width="56.81640625" style="550" customWidth="1"/>
    <col min="11522" max="11522" width="17" style="550" customWidth="1"/>
    <col min="11523" max="11523" width="14" style="550" customWidth="1"/>
    <col min="11524" max="11524" width="14.81640625" style="550" customWidth="1"/>
    <col min="11525" max="11525" width="14" style="550" customWidth="1"/>
    <col min="11526" max="11528" width="9.1796875" style="550"/>
    <col min="11529" max="11529" width="19" style="550" customWidth="1"/>
    <col min="11530" max="11530" width="23.6328125" style="550" customWidth="1"/>
    <col min="11531" max="11776" width="9.1796875" style="550"/>
    <col min="11777" max="11777" width="56.81640625" style="550" customWidth="1"/>
    <col min="11778" max="11778" width="17" style="550" customWidth="1"/>
    <col min="11779" max="11779" width="14" style="550" customWidth="1"/>
    <col min="11780" max="11780" width="14.81640625" style="550" customWidth="1"/>
    <col min="11781" max="11781" width="14" style="550" customWidth="1"/>
    <col min="11782" max="11784" width="9.1796875" style="550"/>
    <col min="11785" max="11785" width="19" style="550" customWidth="1"/>
    <col min="11786" max="11786" width="23.6328125" style="550" customWidth="1"/>
    <col min="11787" max="12032" width="9.1796875" style="550"/>
    <col min="12033" max="12033" width="56.81640625" style="550" customWidth="1"/>
    <col min="12034" max="12034" width="17" style="550" customWidth="1"/>
    <col min="12035" max="12035" width="14" style="550" customWidth="1"/>
    <col min="12036" max="12036" width="14.81640625" style="550" customWidth="1"/>
    <col min="12037" max="12037" width="14" style="550" customWidth="1"/>
    <col min="12038" max="12040" width="9.1796875" style="550"/>
    <col min="12041" max="12041" width="19" style="550" customWidth="1"/>
    <col min="12042" max="12042" width="23.6328125" style="550" customWidth="1"/>
    <col min="12043" max="12288" width="9.1796875" style="550"/>
    <col min="12289" max="12289" width="56.81640625" style="550" customWidth="1"/>
    <col min="12290" max="12290" width="17" style="550" customWidth="1"/>
    <col min="12291" max="12291" width="14" style="550" customWidth="1"/>
    <col min="12292" max="12292" width="14.81640625" style="550" customWidth="1"/>
    <col min="12293" max="12293" width="14" style="550" customWidth="1"/>
    <col min="12294" max="12296" width="9.1796875" style="550"/>
    <col min="12297" max="12297" width="19" style="550" customWidth="1"/>
    <col min="12298" max="12298" width="23.6328125" style="550" customWidth="1"/>
    <col min="12299" max="12544" width="9.1796875" style="550"/>
    <col min="12545" max="12545" width="56.81640625" style="550" customWidth="1"/>
    <col min="12546" max="12546" width="17" style="550" customWidth="1"/>
    <col min="12547" max="12547" width="14" style="550" customWidth="1"/>
    <col min="12548" max="12548" width="14.81640625" style="550" customWidth="1"/>
    <col min="12549" max="12549" width="14" style="550" customWidth="1"/>
    <col min="12550" max="12552" width="9.1796875" style="550"/>
    <col min="12553" max="12553" width="19" style="550" customWidth="1"/>
    <col min="12554" max="12554" width="23.6328125" style="550" customWidth="1"/>
    <col min="12555" max="12800" width="9.1796875" style="550"/>
    <col min="12801" max="12801" width="56.81640625" style="550" customWidth="1"/>
    <col min="12802" max="12802" width="17" style="550" customWidth="1"/>
    <col min="12803" max="12803" width="14" style="550" customWidth="1"/>
    <col min="12804" max="12804" width="14.81640625" style="550" customWidth="1"/>
    <col min="12805" max="12805" width="14" style="550" customWidth="1"/>
    <col min="12806" max="12808" width="9.1796875" style="550"/>
    <col min="12809" max="12809" width="19" style="550" customWidth="1"/>
    <col min="12810" max="12810" width="23.6328125" style="550" customWidth="1"/>
    <col min="12811" max="13056" width="9.1796875" style="550"/>
    <col min="13057" max="13057" width="56.81640625" style="550" customWidth="1"/>
    <col min="13058" max="13058" width="17" style="550" customWidth="1"/>
    <col min="13059" max="13059" width="14" style="550" customWidth="1"/>
    <col min="13060" max="13060" width="14.81640625" style="550" customWidth="1"/>
    <col min="13061" max="13061" width="14" style="550" customWidth="1"/>
    <col min="13062" max="13064" width="9.1796875" style="550"/>
    <col min="13065" max="13065" width="19" style="550" customWidth="1"/>
    <col min="13066" max="13066" width="23.6328125" style="550" customWidth="1"/>
    <col min="13067" max="13312" width="9.1796875" style="550"/>
    <col min="13313" max="13313" width="56.81640625" style="550" customWidth="1"/>
    <col min="13314" max="13314" width="17" style="550" customWidth="1"/>
    <col min="13315" max="13315" width="14" style="550" customWidth="1"/>
    <col min="13316" max="13316" width="14.81640625" style="550" customWidth="1"/>
    <col min="13317" max="13317" width="14" style="550" customWidth="1"/>
    <col min="13318" max="13320" width="9.1796875" style="550"/>
    <col min="13321" max="13321" width="19" style="550" customWidth="1"/>
    <col min="13322" max="13322" width="23.6328125" style="550" customWidth="1"/>
    <col min="13323" max="13568" width="9.1796875" style="550"/>
    <col min="13569" max="13569" width="56.81640625" style="550" customWidth="1"/>
    <col min="13570" max="13570" width="17" style="550" customWidth="1"/>
    <col min="13571" max="13571" width="14" style="550" customWidth="1"/>
    <col min="13572" max="13572" width="14.81640625" style="550" customWidth="1"/>
    <col min="13573" max="13573" width="14" style="550" customWidth="1"/>
    <col min="13574" max="13576" width="9.1796875" style="550"/>
    <col min="13577" max="13577" width="19" style="550" customWidth="1"/>
    <col min="13578" max="13578" width="23.6328125" style="550" customWidth="1"/>
    <col min="13579" max="13824" width="9.1796875" style="550"/>
    <col min="13825" max="13825" width="56.81640625" style="550" customWidth="1"/>
    <col min="13826" max="13826" width="17" style="550" customWidth="1"/>
    <col min="13827" max="13827" width="14" style="550" customWidth="1"/>
    <col min="13828" max="13828" width="14.81640625" style="550" customWidth="1"/>
    <col min="13829" max="13829" width="14" style="550" customWidth="1"/>
    <col min="13830" max="13832" width="9.1796875" style="550"/>
    <col min="13833" max="13833" width="19" style="550" customWidth="1"/>
    <col min="13834" max="13834" width="23.6328125" style="550" customWidth="1"/>
    <col min="13835" max="14080" width="9.1796875" style="550"/>
    <col min="14081" max="14081" width="56.81640625" style="550" customWidth="1"/>
    <col min="14082" max="14082" width="17" style="550" customWidth="1"/>
    <col min="14083" max="14083" width="14" style="550" customWidth="1"/>
    <col min="14084" max="14084" width="14.81640625" style="550" customWidth="1"/>
    <col min="14085" max="14085" width="14" style="550" customWidth="1"/>
    <col min="14086" max="14088" width="9.1796875" style="550"/>
    <col min="14089" max="14089" width="19" style="550" customWidth="1"/>
    <col min="14090" max="14090" width="23.6328125" style="550" customWidth="1"/>
    <col min="14091" max="14336" width="9.1796875" style="550"/>
    <col min="14337" max="14337" width="56.81640625" style="550" customWidth="1"/>
    <col min="14338" max="14338" width="17" style="550" customWidth="1"/>
    <col min="14339" max="14339" width="14" style="550" customWidth="1"/>
    <col min="14340" max="14340" width="14.81640625" style="550" customWidth="1"/>
    <col min="14341" max="14341" width="14" style="550" customWidth="1"/>
    <col min="14342" max="14344" width="9.1796875" style="550"/>
    <col min="14345" max="14345" width="19" style="550" customWidth="1"/>
    <col min="14346" max="14346" width="23.6328125" style="550" customWidth="1"/>
    <col min="14347" max="14592" width="9.1796875" style="550"/>
    <col min="14593" max="14593" width="56.81640625" style="550" customWidth="1"/>
    <col min="14594" max="14594" width="17" style="550" customWidth="1"/>
    <col min="14595" max="14595" width="14" style="550" customWidth="1"/>
    <col min="14596" max="14596" width="14.81640625" style="550" customWidth="1"/>
    <col min="14597" max="14597" width="14" style="550" customWidth="1"/>
    <col min="14598" max="14600" width="9.1796875" style="550"/>
    <col min="14601" max="14601" width="19" style="550" customWidth="1"/>
    <col min="14602" max="14602" width="23.6328125" style="550" customWidth="1"/>
    <col min="14603" max="14848" width="9.1796875" style="550"/>
    <col min="14849" max="14849" width="56.81640625" style="550" customWidth="1"/>
    <col min="14850" max="14850" width="17" style="550" customWidth="1"/>
    <col min="14851" max="14851" width="14" style="550" customWidth="1"/>
    <col min="14852" max="14852" width="14.81640625" style="550" customWidth="1"/>
    <col min="14853" max="14853" width="14" style="550" customWidth="1"/>
    <col min="14854" max="14856" width="9.1796875" style="550"/>
    <col min="14857" max="14857" width="19" style="550" customWidth="1"/>
    <col min="14858" max="14858" width="23.6328125" style="550" customWidth="1"/>
    <col min="14859" max="15104" width="9.1796875" style="550"/>
    <col min="15105" max="15105" width="56.81640625" style="550" customWidth="1"/>
    <col min="15106" max="15106" width="17" style="550" customWidth="1"/>
    <col min="15107" max="15107" width="14" style="550" customWidth="1"/>
    <col min="15108" max="15108" width="14.81640625" style="550" customWidth="1"/>
    <col min="15109" max="15109" width="14" style="550" customWidth="1"/>
    <col min="15110" max="15112" width="9.1796875" style="550"/>
    <col min="15113" max="15113" width="19" style="550" customWidth="1"/>
    <col min="15114" max="15114" width="23.6328125" style="550" customWidth="1"/>
    <col min="15115" max="15360" width="9.1796875" style="550"/>
    <col min="15361" max="15361" width="56.81640625" style="550" customWidth="1"/>
    <col min="15362" max="15362" width="17" style="550" customWidth="1"/>
    <col min="15363" max="15363" width="14" style="550" customWidth="1"/>
    <col min="15364" max="15364" width="14.81640625" style="550" customWidth="1"/>
    <col min="15365" max="15365" width="14" style="550" customWidth="1"/>
    <col min="15366" max="15368" width="9.1796875" style="550"/>
    <col min="15369" max="15369" width="19" style="550" customWidth="1"/>
    <col min="15370" max="15370" width="23.6328125" style="550" customWidth="1"/>
    <col min="15371" max="15616" width="9.1796875" style="550"/>
    <col min="15617" max="15617" width="56.81640625" style="550" customWidth="1"/>
    <col min="15618" max="15618" width="17" style="550" customWidth="1"/>
    <col min="15619" max="15619" width="14" style="550" customWidth="1"/>
    <col min="15620" max="15620" width="14.81640625" style="550" customWidth="1"/>
    <col min="15621" max="15621" width="14" style="550" customWidth="1"/>
    <col min="15622" max="15624" width="9.1796875" style="550"/>
    <col min="15625" max="15625" width="19" style="550" customWidth="1"/>
    <col min="15626" max="15626" width="23.6328125" style="550" customWidth="1"/>
    <col min="15627" max="15872" width="9.1796875" style="550"/>
    <col min="15873" max="15873" width="56.81640625" style="550" customWidth="1"/>
    <col min="15874" max="15874" width="17" style="550" customWidth="1"/>
    <col min="15875" max="15875" width="14" style="550" customWidth="1"/>
    <col min="15876" max="15876" width="14.81640625" style="550" customWidth="1"/>
    <col min="15877" max="15877" width="14" style="550" customWidth="1"/>
    <col min="15878" max="15880" width="9.1796875" style="550"/>
    <col min="15881" max="15881" width="19" style="550" customWidth="1"/>
    <col min="15882" max="15882" width="23.6328125" style="550" customWidth="1"/>
    <col min="15883" max="16128" width="9.1796875" style="550"/>
    <col min="16129" max="16129" width="56.81640625" style="550" customWidth="1"/>
    <col min="16130" max="16130" width="17" style="550" customWidth="1"/>
    <col min="16131" max="16131" width="14" style="550" customWidth="1"/>
    <col min="16132" max="16132" width="14.81640625" style="550" customWidth="1"/>
    <col min="16133" max="16133" width="14" style="550" customWidth="1"/>
    <col min="16134" max="16136" width="9.1796875" style="550"/>
    <col min="16137" max="16137" width="19" style="550" customWidth="1"/>
    <col min="16138" max="16138" width="23.6328125" style="550" customWidth="1"/>
    <col min="16139" max="16384" width="9.1796875" style="550"/>
  </cols>
  <sheetData>
    <row r="1" spans="1:10" x14ac:dyDescent="0.3">
      <c r="A1" s="549" t="s">
        <v>261</v>
      </c>
    </row>
    <row r="2" spans="1:10" x14ac:dyDescent="0.3">
      <c r="A2" s="549" t="s">
        <v>262</v>
      </c>
    </row>
    <row r="3" spans="1:10" x14ac:dyDescent="0.3">
      <c r="A3" s="549" t="s">
        <v>263</v>
      </c>
    </row>
    <row r="4" spans="1:10" x14ac:dyDescent="0.3">
      <c r="A4" s="549" t="s">
        <v>264</v>
      </c>
    </row>
    <row r="5" spans="1:10" x14ac:dyDescent="0.3">
      <c r="B5" s="551" t="s">
        <v>265</v>
      </c>
      <c r="C5" s="551" t="s">
        <v>266</v>
      </c>
      <c r="D5" s="551" t="s">
        <v>267</v>
      </c>
      <c r="E5" s="551" t="s">
        <v>268</v>
      </c>
      <c r="H5" s="551"/>
      <c r="I5" s="551"/>
      <c r="J5" s="551"/>
    </row>
    <row r="6" spans="1:10" x14ac:dyDescent="0.3">
      <c r="A6" s="550" t="s">
        <v>26</v>
      </c>
      <c r="B6" s="552">
        <v>675.55</v>
      </c>
      <c r="C6" s="552">
        <v>870.57</v>
      </c>
      <c r="D6" s="552">
        <v>957.62700000000007</v>
      </c>
      <c r="E6" s="552">
        <v>1053.3897000000002</v>
      </c>
      <c r="H6" s="553"/>
      <c r="I6" s="554"/>
      <c r="J6" s="554"/>
    </row>
    <row r="7" spans="1:10" x14ac:dyDescent="0.3">
      <c r="A7" s="550" t="s">
        <v>27</v>
      </c>
      <c r="B7" s="555">
        <v>625</v>
      </c>
      <c r="C7" s="556">
        <v>763.310792780376</v>
      </c>
      <c r="D7" s="556">
        <v>839.64187205841404</v>
      </c>
      <c r="E7" s="556">
        <v>923.60605926425546</v>
      </c>
      <c r="H7" s="553"/>
      <c r="I7" s="554"/>
      <c r="J7" s="554"/>
    </row>
    <row r="8" spans="1:10" x14ac:dyDescent="0.3">
      <c r="A8" s="550" t="s">
        <v>269</v>
      </c>
      <c r="B8" s="555">
        <v>295</v>
      </c>
      <c r="C8" s="556">
        <v>365.06168350365823</v>
      </c>
      <c r="D8" s="556">
        <v>401.56785185402407</v>
      </c>
      <c r="E8" s="556">
        <v>441.72463703942651</v>
      </c>
      <c r="H8" s="553"/>
      <c r="I8" s="554"/>
      <c r="J8" s="554"/>
    </row>
    <row r="9" spans="1:10" x14ac:dyDescent="0.3">
      <c r="A9" s="550" t="s">
        <v>270</v>
      </c>
      <c r="B9" s="557">
        <v>0</v>
      </c>
      <c r="C9" s="557">
        <v>0.48380000000000001</v>
      </c>
      <c r="D9" s="557">
        <v>0.4783</v>
      </c>
      <c r="E9" s="557">
        <v>0.4783</v>
      </c>
      <c r="H9" s="553"/>
      <c r="I9" s="554"/>
      <c r="J9" s="554"/>
    </row>
    <row r="10" spans="1:10" x14ac:dyDescent="0.3">
      <c r="H10" s="553"/>
      <c r="I10" s="554"/>
      <c r="J10" s="554"/>
    </row>
    <row r="11" spans="1:10" x14ac:dyDescent="0.3">
      <c r="A11" s="550" t="s">
        <v>271</v>
      </c>
      <c r="B11" s="558">
        <v>6841245</v>
      </c>
      <c r="C11" s="558">
        <v>9331831</v>
      </c>
      <c r="D11" s="558">
        <v>10624289</v>
      </c>
      <c r="E11" s="558">
        <v>12112478</v>
      </c>
      <c r="H11" s="553"/>
      <c r="I11" s="554"/>
      <c r="J11" s="554"/>
    </row>
    <row r="12" spans="1:10" x14ac:dyDescent="0.3">
      <c r="H12" s="553"/>
      <c r="I12" s="554"/>
      <c r="J12" s="554"/>
    </row>
    <row r="13" spans="1:10" x14ac:dyDescent="0.3">
      <c r="A13" s="550" t="s">
        <v>272</v>
      </c>
      <c r="C13" s="552">
        <v>48</v>
      </c>
      <c r="D13" s="552">
        <v>52.800000000000004</v>
      </c>
      <c r="E13" s="552">
        <v>58.080000000000013</v>
      </c>
      <c r="H13" s="553"/>
      <c r="I13" s="554"/>
      <c r="J13" s="554"/>
    </row>
    <row r="14" spans="1:10" x14ac:dyDescent="0.3">
      <c r="A14" s="550" t="s">
        <v>273</v>
      </c>
      <c r="C14" s="552">
        <v>1</v>
      </c>
      <c r="D14" s="552">
        <v>1.5</v>
      </c>
      <c r="E14" s="552">
        <v>2</v>
      </c>
      <c r="H14" s="553"/>
      <c r="I14" s="554"/>
      <c r="J14" s="554"/>
    </row>
    <row r="15" spans="1:10" x14ac:dyDescent="0.3">
      <c r="A15" s="550" t="s">
        <v>274</v>
      </c>
      <c r="C15" s="552">
        <v>6</v>
      </c>
      <c r="D15" s="552">
        <v>6</v>
      </c>
      <c r="E15" s="552">
        <v>6</v>
      </c>
      <c r="H15" s="553"/>
    </row>
    <row r="16" spans="1:10" x14ac:dyDescent="0.3">
      <c r="C16" s="552"/>
      <c r="D16" s="552"/>
      <c r="E16" s="552"/>
      <c r="H16" s="553"/>
    </row>
    <row r="17" spans="1:5" x14ac:dyDescent="0.3">
      <c r="A17" s="550" t="s">
        <v>275</v>
      </c>
      <c r="C17" s="552">
        <v>8</v>
      </c>
      <c r="D17" s="552">
        <v>8</v>
      </c>
      <c r="E17" s="552">
        <v>8</v>
      </c>
    </row>
    <row r="18" spans="1:5" x14ac:dyDescent="0.3">
      <c r="A18" s="550" t="s">
        <v>276</v>
      </c>
      <c r="C18" s="552">
        <v>2</v>
      </c>
      <c r="D18" s="552">
        <v>2</v>
      </c>
      <c r="E18" s="552">
        <v>2</v>
      </c>
    </row>
    <row r="19" spans="1:5" x14ac:dyDescent="0.3">
      <c r="C19" s="559"/>
      <c r="D19" s="559"/>
      <c r="E19" s="559"/>
    </row>
    <row r="20" spans="1:5" x14ac:dyDescent="0.3">
      <c r="A20" s="550" t="s">
        <v>277</v>
      </c>
      <c r="C20" s="558">
        <v>71482.430290000004</v>
      </c>
      <c r="D20" s="558">
        <v>73626.903198700005</v>
      </c>
      <c r="E20" s="558">
        <v>75835.71029466101</v>
      </c>
    </row>
    <row r="21" spans="1:5" x14ac:dyDescent="0.3">
      <c r="A21" s="550" t="s">
        <v>278</v>
      </c>
      <c r="C21" s="558">
        <v>67890</v>
      </c>
      <c r="D21" s="558">
        <v>69247.8</v>
      </c>
      <c r="E21" s="558">
        <v>70632.756000000008</v>
      </c>
    </row>
    <row r="22" spans="1:5" x14ac:dyDescent="0.3">
      <c r="A22" s="550" t="s">
        <v>279</v>
      </c>
      <c r="C22" s="558">
        <v>113550</v>
      </c>
      <c r="D22" s="558">
        <v>116956.5</v>
      </c>
      <c r="E22" s="558">
        <v>120465.19500000001</v>
      </c>
    </row>
    <row r="23" spans="1:5" x14ac:dyDescent="0.3">
      <c r="A23" s="560" t="s">
        <v>280</v>
      </c>
      <c r="C23" s="558">
        <v>320699.76</v>
      </c>
      <c r="D23" s="558">
        <v>330320.75280000002</v>
      </c>
      <c r="E23" s="558">
        <v>340230.37538400001</v>
      </c>
    </row>
    <row r="24" spans="1:5" x14ac:dyDescent="0.3">
      <c r="A24" s="560"/>
      <c r="C24" s="558"/>
      <c r="D24" s="558"/>
      <c r="E24" s="558"/>
    </row>
    <row r="25" spans="1:5" x14ac:dyDescent="0.3">
      <c r="A25" s="550" t="s">
        <v>281</v>
      </c>
      <c r="C25" s="558">
        <v>55872.727270000003</v>
      </c>
      <c r="D25" s="558">
        <v>56990.181815400007</v>
      </c>
      <c r="E25" s="558">
        <v>58129.985451708009</v>
      </c>
    </row>
    <row r="26" spans="1:5" x14ac:dyDescent="0.3">
      <c r="A26" s="550" t="s">
        <v>282</v>
      </c>
      <c r="C26" s="558">
        <v>101337.5</v>
      </c>
      <c r="D26" s="558">
        <v>103364.25</v>
      </c>
      <c r="E26" s="558">
        <v>105431.535</v>
      </c>
    </row>
    <row r="27" spans="1:5" x14ac:dyDescent="0.3">
      <c r="A27" s="560" t="s">
        <v>283</v>
      </c>
      <c r="C27" s="558">
        <v>27500</v>
      </c>
      <c r="D27" s="558">
        <v>27775</v>
      </c>
      <c r="E27" s="558">
        <v>28052.75</v>
      </c>
    </row>
    <row r="28" spans="1:5" x14ac:dyDescent="0.3">
      <c r="C28" s="558"/>
      <c r="D28" s="558"/>
      <c r="E28" s="558"/>
    </row>
    <row r="29" spans="1:5" x14ac:dyDescent="0.3">
      <c r="A29" s="560" t="s">
        <v>284</v>
      </c>
      <c r="C29" s="558">
        <v>9363.5728220000001</v>
      </c>
      <c r="D29" s="558">
        <v>9505.8991288944017</v>
      </c>
      <c r="E29" s="558">
        <v>9725.4853987718616</v>
      </c>
    </row>
    <row r="30" spans="1:5" x14ac:dyDescent="0.3">
      <c r="A30" s="550" t="s">
        <v>285</v>
      </c>
      <c r="C30" s="558">
        <v>7992.6</v>
      </c>
      <c r="D30" s="558">
        <v>8114.0875200000009</v>
      </c>
      <c r="E30" s="558">
        <v>8242.2901028160013</v>
      </c>
    </row>
    <row r="31" spans="1:5" x14ac:dyDescent="0.3">
      <c r="C31" s="558"/>
      <c r="D31" s="558"/>
      <c r="E31" s="558"/>
    </row>
    <row r="32" spans="1:5" x14ac:dyDescent="0.3">
      <c r="A32" s="550" t="s">
        <v>286</v>
      </c>
      <c r="C32" s="561">
        <v>0.191</v>
      </c>
      <c r="D32" s="561">
        <v>0.191</v>
      </c>
      <c r="E32" s="561">
        <v>0.191</v>
      </c>
    </row>
    <row r="33" spans="1:5" x14ac:dyDescent="0.3">
      <c r="A33" s="550" t="s">
        <v>287</v>
      </c>
      <c r="C33" s="561">
        <v>0</v>
      </c>
      <c r="D33" s="561">
        <v>0</v>
      </c>
      <c r="E33" s="561">
        <v>0</v>
      </c>
    </row>
    <row r="34" spans="1:5" x14ac:dyDescent="0.3">
      <c r="A34" s="550" t="s">
        <v>288</v>
      </c>
      <c r="B34" s="562"/>
      <c r="C34" s="554">
        <v>0</v>
      </c>
      <c r="D34" s="554">
        <v>0</v>
      </c>
      <c r="E34" s="554">
        <v>0</v>
      </c>
    </row>
    <row r="35" spans="1:5" x14ac:dyDescent="0.3">
      <c r="A35" s="550" t="s">
        <v>289</v>
      </c>
      <c r="B35" s="562"/>
      <c r="C35" s="554">
        <v>7992.6</v>
      </c>
      <c r="D35" s="554">
        <v>8114.0875200000009</v>
      </c>
      <c r="E35" s="554">
        <v>8242.2901028160013</v>
      </c>
    </row>
    <row r="36" spans="1:5" x14ac:dyDescent="0.3">
      <c r="C36" s="562"/>
      <c r="D36" s="562"/>
      <c r="E36" s="562"/>
    </row>
    <row r="37" spans="1:5" x14ac:dyDescent="0.3">
      <c r="A37" s="563" t="s">
        <v>290</v>
      </c>
      <c r="C37" s="564">
        <v>6.2E-2</v>
      </c>
      <c r="D37" s="564">
        <v>6.2E-2</v>
      </c>
      <c r="E37" s="564">
        <v>6.2E-2</v>
      </c>
    </row>
    <row r="38" spans="1:5" x14ac:dyDescent="0.3">
      <c r="A38" s="550" t="s">
        <v>291</v>
      </c>
      <c r="C38" s="565">
        <v>1.4500000000000001E-2</v>
      </c>
      <c r="D38" s="565">
        <v>1.4500000000000001E-2</v>
      </c>
      <c r="E38" s="565">
        <v>1.4500000000000001E-2</v>
      </c>
    </row>
    <row r="39" spans="1:5" x14ac:dyDescent="0.3">
      <c r="A39" s="550" t="s">
        <v>292</v>
      </c>
      <c r="C39" s="566">
        <v>1.23E-2</v>
      </c>
      <c r="D39" s="566">
        <v>8.9999999999999993E-3</v>
      </c>
      <c r="E39" s="566">
        <v>3.0000000000000001E-3</v>
      </c>
    </row>
    <row r="40" spans="1:5" x14ac:dyDescent="0.3">
      <c r="A40" s="550" t="s">
        <v>293</v>
      </c>
      <c r="C40" s="566">
        <v>0.01</v>
      </c>
      <c r="D40" s="566">
        <v>0.01</v>
      </c>
      <c r="E40" s="566">
        <v>0.01</v>
      </c>
    </row>
    <row r="41" spans="1:5" x14ac:dyDescent="0.3">
      <c r="C41" s="562"/>
      <c r="D41" s="562"/>
      <c r="E41" s="562"/>
    </row>
    <row r="42" spans="1:5" x14ac:dyDescent="0.3">
      <c r="A42" s="550" t="s">
        <v>294</v>
      </c>
      <c r="B42" s="554"/>
      <c r="C42" s="554"/>
      <c r="D42" s="554"/>
      <c r="E42" s="554"/>
    </row>
    <row r="43" spans="1:5" x14ac:dyDescent="0.3">
      <c r="A43" s="550" t="s">
        <v>295</v>
      </c>
      <c r="B43" s="554">
        <v>1352516</v>
      </c>
      <c r="C43" s="554">
        <v>1543472.6318229996</v>
      </c>
      <c r="D43" s="554">
        <v>1743609.4554446004</v>
      </c>
      <c r="E43" s="554">
        <v>1803062.4614283592</v>
      </c>
    </row>
    <row r="44" spans="1:5" x14ac:dyDescent="0.3">
      <c r="A44" s="550" t="s">
        <v>296</v>
      </c>
      <c r="B44" s="554">
        <v>0</v>
      </c>
      <c r="C44" s="554">
        <v>0</v>
      </c>
      <c r="D44" s="554">
        <v>0</v>
      </c>
      <c r="E44" s="554">
        <v>0</v>
      </c>
    </row>
    <row r="45" spans="1:5" x14ac:dyDescent="0.3">
      <c r="A45" s="550" t="s">
        <v>297</v>
      </c>
      <c r="B45" s="554">
        <v>1352516</v>
      </c>
      <c r="C45" s="567">
        <v>1543472.6318229996</v>
      </c>
      <c r="D45" s="554">
        <v>1743609.4554446004</v>
      </c>
      <c r="E45" s="554">
        <v>1803062.4614283592</v>
      </c>
    </row>
    <row r="46" spans="1:5" x14ac:dyDescent="0.3">
      <c r="A46" s="550" t="s">
        <v>298</v>
      </c>
      <c r="B46" s="554">
        <v>0</v>
      </c>
      <c r="C46" s="567">
        <v>0</v>
      </c>
      <c r="D46" s="554">
        <v>0</v>
      </c>
      <c r="E46" s="554">
        <v>0</v>
      </c>
    </row>
    <row r="47" spans="1:5" x14ac:dyDescent="0.3">
      <c r="A47" s="550" t="s">
        <v>299</v>
      </c>
      <c r="B47" s="554">
        <v>0</v>
      </c>
      <c r="C47" s="554">
        <v>0</v>
      </c>
      <c r="D47" s="554">
        <v>0</v>
      </c>
      <c r="E47" s="554">
        <v>0</v>
      </c>
    </row>
    <row r="48" spans="1:5" x14ac:dyDescent="0.3">
      <c r="A48" s="550" t="s">
        <v>300</v>
      </c>
      <c r="B48" s="554">
        <v>1352516</v>
      </c>
      <c r="C48" s="567">
        <v>0</v>
      </c>
      <c r="D48" s="554">
        <v>0</v>
      </c>
      <c r="E48" s="554">
        <v>0</v>
      </c>
    </row>
    <row r="49" spans="1:5" x14ac:dyDescent="0.3">
      <c r="A49" s="550" t="s">
        <v>301</v>
      </c>
      <c r="B49" s="554">
        <v>1543472.6318229996</v>
      </c>
      <c r="C49" s="567">
        <v>1743609.4554446004</v>
      </c>
      <c r="D49" s="554">
        <v>1803062.4614283592</v>
      </c>
      <c r="E49" s="554">
        <v>2287109.068010496</v>
      </c>
    </row>
    <row r="50" spans="1:5" x14ac:dyDescent="0.3">
      <c r="B50" s="554"/>
      <c r="C50" s="567"/>
      <c r="D50" s="554"/>
      <c r="E50" s="554"/>
    </row>
    <row r="51" spans="1:5" x14ac:dyDescent="0.3">
      <c r="A51" s="550" t="s">
        <v>302</v>
      </c>
      <c r="B51" s="554">
        <v>0</v>
      </c>
      <c r="C51" s="567">
        <v>0</v>
      </c>
      <c r="D51" s="554">
        <v>0</v>
      </c>
      <c r="E51" s="554">
        <v>0</v>
      </c>
    </row>
    <row r="52" spans="1:5" x14ac:dyDescent="0.3">
      <c r="A52" s="550" t="s">
        <v>303</v>
      </c>
      <c r="B52" s="554">
        <v>0</v>
      </c>
      <c r="C52" s="554">
        <v>0</v>
      </c>
      <c r="D52" s="554">
        <v>0</v>
      </c>
      <c r="E52" s="554">
        <v>0</v>
      </c>
    </row>
    <row r="53" spans="1:5" x14ac:dyDescent="0.3">
      <c r="A53" s="568" t="s">
        <v>304</v>
      </c>
      <c r="B53" s="569">
        <v>0</v>
      </c>
      <c r="C53" s="554">
        <v>0</v>
      </c>
      <c r="D53" s="554">
        <v>0</v>
      </c>
      <c r="E53" s="554">
        <v>0</v>
      </c>
    </row>
    <row r="54" spans="1:5" x14ac:dyDescent="0.3">
      <c r="A54" s="568" t="s">
        <v>305</v>
      </c>
      <c r="B54" s="569">
        <v>0</v>
      </c>
      <c r="C54" s="554">
        <v>0</v>
      </c>
      <c r="D54" s="554">
        <v>0</v>
      </c>
      <c r="E54" s="554">
        <v>0</v>
      </c>
    </row>
    <row r="55" spans="1:5" x14ac:dyDescent="0.3">
      <c r="A55" s="568" t="s">
        <v>306</v>
      </c>
      <c r="B55" s="569">
        <v>0</v>
      </c>
      <c r="C55" s="554">
        <v>0</v>
      </c>
      <c r="D55" s="554">
        <v>0</v>
      </c>
      <c r="E55" s="554">
        <v>0</v>
      </c>
    </row>
    <row r="56" spans="1:5" x14ac:dyDescent="0.3">
      <c r="A56" s="568" t="s">
        <v>307</v>
      </c>
      <c r="B56" s="569">
        <v>0</v>
      </c>
      <c r="C56" s="554">
        <v>0</v>
      </c>
      <c r="D56" s="554">
        <v>0</v>
      </c>
      <c r="E56" s="554">
        <v>0</v>
      </c>
    </row>
    <row r="57" spans="1:5" x14ac:dyDescent="0.3">
      <c r="A57" s="568" t="s">
        <v>308</v>
      </c>
      <c r="B57" s="569">
        <v>0</v>
      </c>
      <c r="C57" s="554">
        <v>0</v>
      </c>
      <c r="D57" s="554">
        <v>0</v>
      </c>
      <c r="E57" s="554">
        <v>0</v>
      </c>
    </row>
    <row r="58" spans="1:5" x14ac:dyDescent="0.3">
      <c r="A58" s="568" t="s">
        <v>309</v>
      </c>
      <c r="B58" s="569">
        <v>0</v>
      </c>
      <c r="C58" s="554">
        <v>0</v>
      </c>
      <c r="D58" s="554">
        <v>0</v>
      </c>
      <c r="E58" s="554">
        <v>0</v>
      </c>
    </row>
    <row r="59" spans="1:5" x14ac:dyDescent="0.3">
      <c r="A59" s="568" t="s">
        <v>310</v>
      </c>
      <c r="B59" s="569">
        <v>1543472.6318229996</v>
      </c>
      <c r="C59" s="554">
        <v>1743609.4554446004</v>
      </c>
      <c r="D59" s="554">
        <v>1803062.4614283592</v>
      </c>
      <c r="E59" s="554">
        <v>2287109.068010496</v>
      </c>
    </row>
    <row r="60" spans="1:5" x14ac:dyDescent="0.3">
      <c r="A60" s="568"/>
      <c r="B60" s="569"/>
      <c r="C60" s="554"/>
      <c r="D60" s="554"/>
      <c r="E60" s="554"/>
    </row>
    <row r="61" spans="1:5" x14ac:dyDescent="0.3">
      <c r="A61" s="568" t="s">
        <v>311</v>
      </c>
      <c r="B61" s="569"/>
      <c r="C61" s="554"/>
      <c r="D61" s="554"/>
      <c r="E61" s="554"/>
    </row>
    <row r="62" spans="1:5" x14ac:dyDescent="0.3">
      <c r="A62" s="550" t="s">
        <v>295</v>
      </c>
      <c r="B62" s="554">
        <v>0</v>
      </c>
      <c r="C62" s="554">
        <v>0</v>
      </c>
      <c r="D62" s="554">
        <v>0</v>
      </c>
      <c r="E62" s="554">
        <v>0</v>
      </c>
    </row>
    <row r="63" spans="1:5" x14ac:dyDescent="0.3">
      <c r="A63" s="550" t="s">
        <v>296</v>
      </c>
      <c r="B63" s="554">
        <v>0</v>
      </c>
      <c r="C63" s="554">
        <v>0</v>
      </c>
      <c r="D63" s="554">
        <v>0</v>
      </c>
      <c r="E63" s="554">
        <v>0</v>
      </c>
    </row>
    <row r="64" spans="1:5" x14ac:dyDescent="0.3">
      <c r="A64" s="550" t="s">
        <v>297</v>
      </c>
      <c r="B64" s="554">
        <v>0</v>
      </c>
      <c r="C64" s="554">
        <v>0</v>
      </c>
      <c r="D64" s="554">
        <v>0</v>
      </c>
      <c r="E64" s="554">
        <v>0</v>
      </c>
    </row>
    <row r="65" spans="1:5" x14ac:dyDescent="0.3">
      <c r="A65" s="550" t="s">
        <v>298</v>
      </c>
      <c r="B65" s="554">
        <v>0</v>
      </c>
      <c r="C65" s="554">
        <v>0</v>
      </c>
      <c r="D65" s="554">
        <v>0</v>
      </c>
      <c r="E65" s="554">
        <v>0</v>
      </c>
    </row>
    <row r="66" spans="1:5" x14ac:dyDescent="0.3">
      <c r="A66" s="550" t="s">
        <v>299</v>
      </c>
      <c r="B66" s="554">
        <v>0</v>
      </c>
      <c r="C66" s="554">
        <v>0</v>
      </c>
      <c r="D66" s="554">
        <v>0</v>
      </c>
      <c r="E66" s="554">
        <v>0</v>
      </c>
    </row>
    <row r="67" spans="1:5" x14ac:dyDescent="0.3">
      <c r="A67" s="550" t="s">
        <v>300</v>
      </c>
      <c r="B67" s="554">
        <v>0</v>
      </c>
      <c r="C67" s="554">
        <v>0</v>
      </c>
      <c r="D67" s="554">
        <v>0</v>
      </c>
      <c r="E67" s="554">
        <v>0</v>
      </c>
    </row>
    <row r="68" spans="1:5" x14ac:dyDescent="0.3">
      <c r="A68" s="550" t="s">
        <v>301</v>
      </c>
      <c r="B68" s="554">
        <v>0</v>
      </c>
      <c r="C68" s="554">
        <v>0</v>
      </c>
      <c r="D68" s="554">
        <v>0</v>
      </c>
      <c r="E68" s="554">
        <v>0</v>
      </c>
    </row>
    <row r="69" spans="1:5" x14ac:dyDescent="0.3">
      <c r="B69" s="554"/>
      <c r="C69" s="554"/>
      <c r="D69" s="554"/>
      <c r="E69" s="554"/>
    </row>
    <row r="70" spans="1:5" x14ac:dyDescent="0.3">
      <c r="A70" s="550" t="s">
        <v>312</v>
      </c>
      <c r="B70" s="554">
        <v>6541158</v>
      </c>
      <c r="C70" s="554">
        <v>8931908.5534000006</v>
      </c>
      <c r="D70" s="554">
        <v>10185437.27471</v>
      </c>
      <c r="E70" s="554">
        <v>11629962.314018</v>
      </c>
    </row>
    <row r="71" spans="1:5" x14ac:dyDescent="0.3">
      <c r="A71" s="550" t="s">
        <v>313</v>
      </c>
      <c r="B71" s="554">
        <v>135248</v>
      </c>
      <c r="C71" s="554">
        <v>174114</v>
      </c>
      <c r="D71" s="554">
        <v>191525.40000000002</v>
      </c>
      <c r="E71" s="554">
        <v>210677.94000000003</v>
      </c>
    </row>
    <row r="72" spans="1:5" x14ac:dyDescent="0.3">
      <c r="A72" s="550" t="s">
        <v>314</v>
      </c>
      <c r="B72" s="554">
        <v>-5019</v>
      </c>
      <c r="C72" s="554">
        <v>0</v>
      </c>
      <c r="D72" s="554">
        <v>0</v>
      </c>
      <c r="E72" s="554">
        <v>0</v>
      </c>
    </row>
    <row r="73" spans="1:5" x14ac:dyDescent="0.3">
      <c r="A73" s="550" t="s">
        <v>315</v>
      </c>
      <c r="B73" s="554">
        <v>169858</v>
      </c>
      <c r="C73" s="554">
        <v>225808.4466</v>
      </c>
      <c r="D73" s="554">
        <v>247326.32529000001</v>
      </c>
      <c r="E73" s="554">
        <v>271837.74598200002</v>
      </c>
    </row>
    <row r="74" spans="1:5" x14ac:dyDescent="0.3">
      <c r="B74" s="570"/>
      <c r="C74" s="570"/>
      <c r="D74" s="570"/>
      <c r="E74" s="570"/>
    </row>
    <row r="75" spans="1:5" x14ac:dyDescent="0.3">
      <c r="A75" s="550" t="s">
        <v>316</v>
      </c>
      <c r="B75" s="571">
        <v>0.04</v>
      </c>
      <c r="C75" s="571">
        <v>0.04</v>
      </c>
      <c r="D75" s="571">
        <v>0.04</v>
      </c>
      <c r="E75" s="571">
        <v>0.03</v>
      </c>
    </row>
    <row r="76" spans="1:5" x14ac:dyDescent="0.3">
      <c r="A76" s="550" t="s">
        <v>317</v>
      </c>
      <c r="B76" s="571" t="s">
        <v>318</v>
      </c>
      <c r="C76" s="571" t="s">
        <v>318</v>
      </c>
      <c r="D76" s="571" t="s">
        <v>318</v>
      </c>
      <c r="E76" s="571" t="s">
        <v>318</v>
      </c>
    </row>
    <row r="77" spans="1:5" x14ac:dyDescent="0.3">
      <c r="A77" s="550" t="s">
        <v>319</v>
      </c>
      <c r="B77" s="572">
        <v>0.18877265770827184</v>
      </c>
      <c r="C77" s="572">
        <v>0.1647505360500017</v>
      </c>
      <c r="D77" s="572">
        <v>0.15476257483286857</v>
      </c>
      <c r="E77" s="572">
        <v>0.17855510047640757</v>
      </c>
    </row>
    <row r="78" spans="1:5" x14ac:dyDescent="0.3">
      <c r="A78" s="550" t="s">
        <v>320</v>
      </c>
      <c r="B78" s="572">
        <v>6.3E-2</v>
      </c>
      <c r="C78" s="572">
        <v>5.5E-2</v>
      </c>
      <c r="D78" s="572">
        <v>5.1999999999999998E-2</v>
      </c>
      <c r="E78" s="572">
        <v>0.06</v>
      </c>
    </row>
    <row r="79" spans="1:5" x14ac:dyDescent="0.3">
      <c r="A79" s="550" t="s">
        <v>321</v>
      </c>
      <c r="B79" s="572">
        <v>0</v>
      </c>
      <c r="C79" s="572">
        <v>0</v>
      </c>
      <c r="D79" s="572">
        <v>0</v>
      </c>
      <c r="E79" s="572">
        <v>0</v>
      </c>
    </row>
    <row r="80" spans="1:5" x14ac:dyDescent="0.3">
      <c r="B80" s="572"/>
      <c r="C80" s="572"/>
      <c r="D80" s="572"/>
      <c r="E80" s="572"/>
    </row>
    <row r="81" spans="1:5" x14ac:dyDescent="0.3">
      <c r="A81" s="550" t="s">
        <v>322</v>
      </c>
      <c r="B81" s="573">
        <v>6976645</v>
      </c>
      <c r="C81" s="573">
        <v>9499913.9133786</v>
      </c>
      <c r="D81" s="573">
        <v>10809180.204716459</v>
      </c>
      <c r="E81" s="573">
        <v>12315858.325188106</v>
      </c>
    </row>
    <row r="82" spans="1:5" x14ac:dyDescent="0.3">
      <c r="A82" s="550" t="s">
        <v>323</v>
      </c>
      <c r="B82" s="554">
        <v>6785688.3681770004</v>
      </c>
      <c r="C82" s="554">
        <v>9299777.0897569992</v>
      </c>
      <c r="D82" s="554">
        <v>10749727.1987327</v>
      </c>
      <c r="E82" s="554">
        <v>11831811.718605969</v>
      </c>
    </row>
    <row r="83" spans="1:5" x14ac:dyDescent="0.3">
      <c r="B83" s="554"/>
      <c r="C83" s="554"/>
      <c r="D83" s="554"/>
      <c r="E83" s="554"/>
    </row>
    <row r="84" spans="1:5" x14ac:dyDescent="0.3">
      <c r="A84" s="550" t="s">
        <v>324</v>
      </c>
      <c r="B84" s="554">
        <v>1390669</v>
      </c>
      <c r="C84" s="554">
        <v>1283553.9102429999</v>
      </c>
      <c r="D84" s="554">
        <v>900779.80126730003</v>
      </c>
      <c r="E84" s="554">
        <v>977170.28139403008</v>
      </c>
    </row>
    <row r="85" spans="1:5" x14ac:dyDescent="0.3">
      <c r="A85" s="550" t="s">
        <v>325</v>
      </c>
      <c r="B85" s="554">
        <v>1390668.5818229995</v>
      </c>
      <c r="C85" s="554">
        <v>1283553.9102429999</v>
      </c>
      <c r="D85" s="554">
        <v>900779.80126730003</v>
      </c>
      <c r="E85" s="554">
        <v>977170.28139403008</v>
      </c>
    </row>
    <row r="86" spans="1:5" x14ac:dyDescent="0.3">
      <c r="B86" s="558"/>
      <c r="C86" s="558"/>
      <c r="D86" s="558"/>
      <c r="E86" s="558"/>
    </row>
    <row r="87" spans="1:5" x14ac:dyDescent="0.3">
      <c r="A87" s="550" t="s">
        <v>326</v>
      </c>
      <c r="B87" s="558">
        <v>0</v>
      </c>
      <c r="C87" s="565">
        <v>0</v>
      </c>
      <c r="D87" s="565">
        <v>0</v>
      </c>
      <c r="E87" s="565">
        <v>0</v>
      </c>
    </row>
    <row r="88" spans="1:5" x14ac:dyDescent="0.3">
      <c r="A88" s="550" t="s">
        <v>327</v>
      </c>
      <c r="C88" s="550" t="s">
        <v>318</v>
      </c>
    </row>
    <row r="89" spans="1:5" x14ac:dyDescent="0.3">
      <c r="A89" s="550" t="s">
        <v>148</v>
      </c>
      <c r="B89" s="562">
        <v>390945</v>
      </c>
      <c r="C89" s="554">
        <v>453401</v>
      </c>
      <c r="D89" s="554">
        <v>498741.10000000003</v>
      </c>
      <c r="E89" s="554">
        <v>548615.21000000008</v>
      </c>
    </row>
    <row r="90" spans="1:5" x14ac:dyDescent="0.3">
      <c r="A90" s="550" t="s">
        <v>328</v>
      </c>
      <c r="B90" s="550">
        <v>0</v>
      </c>
      <c r="C90" s="554">
        <v>0</v>
      </c>
      <c r="D90" s="554">
        <v>0</v>
      </c>
      <c r="E90" s="554">
        <v>0</v>
      </c>
    </row>
    <row r="91" spans="1:5" x14ac:dyDescent="0.3">
      <c r="A91" s="550" t="s">
        <v>329</v>
      </c>
      <c r="B91" s="558">
        <v>0</v>
      </c>
      <c r="C91" s="558">
        <v>0</v>
      </c>
      <c r="D91" s="558">
        <v>0</v>
      </c>
      <c r="E91" s="558">
        <v>0</v>
      </c>
    </row>
    <row r="92" spans="1:5" x14ac:dyDescent="0.3">
      <c r="A92" s="550" t="s">
        <v>330</v>
      </c>
      <c r="B92" s="558">
        <v>390945</v>
      </c>
      <c r="C92" s="558">
        <v>453401</v>
      </c>
      <c r="D92" s="558">
        <v>498741.10000000003</v>
      </c>
      <c r="E92" s="558">
        <v>548615.21000000008</v>
      </c>
    </row>
    <row r="93" spans="1:5" x14ac:dyDescent="0.3">
      <c r="A93" s="550" t="s">
        <v>331</v>
      </c>
      <c r="B93" s="558">
        <v>0</v>
      </c>
      <c r="C93" s="558">
        <v>0</v>
      </c>
      <c r="D93" s="558">
        <v>0</v>
      </c>
      <c r="E93" s="558">
        <v>0</v>
      </c>
    </row>
    <row r="94" spans="1:5" x14ac:dyDescent="0.3">
      <c r="B94" s="558"/>
      <c r="C94" s="558"/>
      <c r="D94" s="558"/>
      <c r="E94" s="558"/>
    </row>
    <row r="95" spans="1:5" x14ac:dyDescent="0.3">
      <c r="A95" s="550" t="s">
        <v>332</v>
      </c>
      <c r="B95" s="558"/>
      <c r="C95" s="558"/>
      <c r="D95" s="558"/>
      <c r="E95" s="558"/>
    </row>
    <row r="96" spans="1:5" x14ac:dyDescent="0.3">
      <c r="A96" s="550" t="s">
        <v>154</v>
      </c>
      <c r="B96" s="554">
        <v>2566945.4181770002</v>
      </c>
      <c r="C96" s="554">
        <v>3401970.0897570001</v>
      </c>
      <c r="D96" s="554">
        <v>4144603.5987327001</v>
      </c>
      <c r="E96" s="554">
        <v>4571059.4586059703</v>
      </c>
    </row>
    <row r="97" spans="1:5" x14ac:dyDescent="0.3">
      <c r="A97" s="550" t="s">
        <v>155</v>
      </c>
      <c r="B97" s="554">
        <v>468102</v>
      </c>
      <c r="C97" s="554">
        <v>553222</v>
      </c>
      <c r="D97" s="554">
        <v>608544</v>
      </c>
      <c r="E97" s="554">
        <v>669399</v>
      </c>
    </row>
    <row r="98" spans="1:5" x14ac:dyDescent="0.3">
      <c r="A98" s="550" t="s">
        <v>156</v>
      </c>
      <c r="B98" s="554">
        <v>741613</v>
      </c>
      <c r="C98" s="554">
        <v>1151055</v>
      </c>
      <c r="D98" s="554">
        <v>1374584</v>
      </c>
      <c r="E98" s="554">
        <v>1514031</v>
      </c>
    </row>
    <row r="99" spans="1:5" x14ac:dyDescent="0.3">
      <c r="A99" s="550" t="s">
        <v>157</v>
      </c>
      <c r="B99" s="554">
        <v>582503</v>
      </c>
      <c r="C99" s="554">
        <v>751263</v>
      </c>
      <c r="D99" s="554">
        <v>826389</v>
      </c>
      <c r="E99" s="554">
        <v>909028</v>
      </c>
    </row>
    <row r="100" spans="1:5" x14ac:dyDescent="0.3">
      <c r="A100" s="550" t="s">
        <v>158</v>
      </c>
      <c r="B100" s="554">
        <v>2391431</v>
      </c>
      <c r="C100" s="554">
        <v>3356019</v>
      </c>
      <c r="D100" s="554">
        <v>3709358.6</v>
      </c>
      <c r="E100" s="554">
        <v>4168294.26</v>
      </c>
    </row>
    <row r="101" spans="1:5" x14ac:dyDescent="0.3">
      <c r="A101" s="550" t="s">
        <v>159</v>
      </c>
      <c r="B101" s="554">
        <v>0</v>
      </c>
      <c r="C101" s="554">
        <v>0</v>
      </c>
      <c r="D101" s="554">
        <v>0</v>
      </c>
      <c r="E101" s="554">
        <v>0</v>
      </c>
    </row>
    <row r="102" spans="1:5" x14ac:dyDescent="0.3">
      <c r="A102" s="550" t="s">
        <v>160</v>
      </c>
      <c r="B102" s="554">
        <v>0</v>
      </c>
      <c r="C102" s="554">
        <v>0</v>
      </c>
      <c r="D102" s="554">
        <v>0</v>
      </c>
      <c r="E102" s="554">
        <v>0</v>
      </c>
    </row>
    <row r="103" spans="1:5" x14ac:dyDescent="0.3">
      <c r="A103" s="550" t="s">
        <v>333</v>
      </c>
      <c r="B103" s="554">
        <v>35093.949999999997</v>
      </c>
      <c r="C103" s="554">
        <v>86248</v>
      </c>
      <c r="D103" s="554">
        <v>86248</v>
      </c>
      <c r="E103" s="554">
        <v>0</v>
      </c>
    </row>
    <row r="104" spans="1:5" x14ac:dyDescent="0.3">
      <c r="A104" s="550" t="s">
        <v>161</v>
      </c>
      <c r="B104" s="554">
        <v>6785688.3681770004</v>
      </c>
      <c r="C104" s="554">
        <v>9299777.0897569992</v>
      </c>
      <c r="D104" s="554">
        <v>10749727.1987327</v>
      </c>
      <c r="E104" s="554">
        <v>11831811.718605969</v>
      </c>
    </row>
    <row r="105" spans="1:5" x14ac:dyDescent="0.3">
      <c r="B105" s="554"/>
      <c r="C105" s="554"/>
      <c r="D105" s="554"/>
      <c r="E105" s="554"/>
    </row>
    <row r="106" spans="1:5" x14ac:dyDescent="0.3">
      <c r="A106" s="550" t="s">
        <v>334</v>
      </c>
      <c r="B106" s="554"/>
      <c r="C106" s="554"/>
      <c r="D106" s="554"/>
      <c r="E106" s="554"/>
    </row>
    <row r="107" spans="1:5" x14ac:dyDescent="0.3">
      <c r="A107" s="550" t="s">
        <v>154</v>
      </c>
      <c r="B107" s="554">
        <v>738290.58182299952</v>
      </c>
      <c r="C107" s="554">
        <v>583052.9102429999</v>
      </c>
      <c r="D107" s="554">
        <v>238652.40126729998</v>
      </c>
      <c r="E107" s="554">
        <v>250818.54139402995</v>
      </c>
    </row>
    <row r="108" spans="1:5" x14ac:dyDescent="0.3">
      <c r="A108" s="550" t="s">
        <v>155</v>
      </c>
      <c r="B108" s="554">
        <v>0</v>
      </c>
      <c r="C108" s="554">
        <v>0</v>
      </c>
      <c r="D108" s="554">
        <v>0</v>
      </c>
      <c r="E108" s="554">
        <v>0</v>
      </c>
    </row>
    <row r="109" spans="1:5" x14ac:dyDescent="0.3">
      <c r="A109" s="550" t="s">
        <v>156</v>
      </c>
      <c r="B109" s="554">
        <v>192841</v>
      </c>
      <c r="C109" s="554">
        <v>158707</v>
      </c>
      <c r="D109" s="554">
        <v>66154</v>
      </c>
      <c r="E109" s="554">
        <v>70781</v>
      </c>
    </row>
    <row r="110" spans="1:5" x14ac:dyDescent="0.3">
      <c r="A110" s="550" t="s">
        <v>157</v>
      </c>
      <c r="B110" s="554">
        <v>0</v>
      </c>
      <c r="C110" s="554">
        <v>0</v>
      </c>
      <c r="D110" s="554">
        <v>0</v>
      </c>
      <c r="E110" s="554">
        <v>0</v>
      </c>
    </row>
    <row r="111" spans="1:5" x14ac:dyDescent="0.3">
      <c r="A111" s="550" t="s">
        <v>158</v>
      </c>
      <c r="B111" s="554">
        <v>459537</v>
      </c>
      <c r="C111" s="554">
        <v>541794</v>
      </c>
      <c r="D111" s="554">
        <v>595973.4</v>
      </c>
      <c r="E111" s="554">
        <v>655570.74000000011</v>
      </c>
    </row>
    <row r="112" spans="1:5" x14ac:dyDescent="0.3">
      <c r="A112" s="550" t="s">
        <v>159</v>
      </c>
      <c r="B112" s="554">
        <v>0</v>
      </c>
      <c r="C112" s="554">
        <v>0</v>
      </c>
      <c r="D112" s="554">
        <v>0</v>
      </c>
      <c r="E112" s="554">
        <v>0</v>
      </c>
    </row>
    <row r="113" spans="1:5" x14ac:dyDescent="0.3">
      <c r="A113" s="550" t="s">
        <v>160</v>
      </c>
      <c r="B113" s="554">
        <v>0</v>
      </c>
      <c r="C113" s="554">
        <v>0</v>
      </c>
      <c r="D113" s="554">
        <v>0</v>
      </c>
      <c r="E113" s="554">
        <v>0</v>
      </c>
    </row>
    <row r="114" spans="1:5" x14ac:dyDescent="0.3">
      <c r="A114" s="550" t="s">
        <v>333</v>
      </c>
      <c r="B114" s="554">
        <v>0</v>
      </c>
      <c r="C114" s="554">
        <v>0</v>
      </c>
      <c r="D114" s="554">
        <v>0</v>
      </c>
      <c r="E114" s="554">
        <v>0</v>
      </c>
    </row>
    <row r="115" spans="1:5" x14ac:dyDescent="0.3">
      <c r="A115" s="550" t="s">
        <v>161</v>
      </c>
      <c r="B115" s="554">
        <v>1390668.5818229995</v>
      </c>
      <c r="C115" s="554">
        <v>1283553.9102429999</v>
      </c>
      <c r="D115" s="554">
        <v>900779.80126730003</v>
      </c>
      <c r="E115" s="554">
        <v>977170.28139403008</v>
      </c>
    </row>
    <row r="116" spans="1:5" x14ac:dyDescent="0.3">
      <c r="B116" s="554"/>
      <c r="C116" s="554"/>
      <c r="D116" s="554"/>
      <c r="E116" s="554"/>
    </row>
    <row r="117" spans="1:5" x14ac:dyDescent="0.3">
      <c r="A117" s="550" t="s">
        <v>335</v>
      </c>
      <c r="B117" s="554"/>
      <c r="C117" s="554">
        <v>66630.59</v>
      </c>
      <c r="D117" s="554">
        <v>68629.507700000002</v>
      </c>
      <c r="E117" s="554">
        <v>70688.392931000009</v>
      </c>
    </row>
    <row r="118" spans="1:5" x14ac:dyDescent="0.3">
      <c r="A118" s="550" t="s">
        <v>336</v>
      </c>
      <c r="B118" s="554"/>
      <c r="C118" s="554">
        <v>1688.04</v>
      </c>
      <c r="D118" s="554">
        <v>1737.83718</v>
      </c>
      <c r="E118" s="554">
        <v>1790.3198628360001</v>
      </c>
    </row>
    <row r="119" spans="1:5" x14ac:dyDescent="0.3">
      <c r="A119" s="550" t="s">
        <v>337</v>
      </c>
      <c r="B119" s="554"/>
      <c r="C119" s="554">
        <v>0</v>
      </c>
      <c r="D119" s="554">
        <v>0</v>
      </c>
      <c r="E119" s="554">
        <v>0</v>
      </c>
    </row>
    <row r="120" spans="1:5" x14ac:dyDescent="0.3">
      <c r="A120" s="550" t="s">
        <v>338</v>
      </c>
      <c r="B120" s="554"/>
      <c r="C120" s="554">
        <v>0</v>
      </c>
      <c r="D120" s="554">
        <v>0</v>
      </c>
      <c r="E120" s="554">
        <v>0</v>
      </c>
    </row>
    <row r="121" spans="1:5" x14ac:dyDescent="0.3">
      <c r="C121" s="558"/>
      <c r="D121" s="558"/>
      <c r="E121" s="558"/>
    </row>
    <row r="122" spans="1:5" x14ac:dyDescent="0.3">
      <c r="A122" s="550" t="s">
        <v>339</v>
      </c>
      <c r="C122" s="558">
        <v>279954.93</v>
      </c>
      <c r="D122" s="558">
        <v>318728.67</v>
      </c>
      <c r="E122" s="558">
        <v>363374.33999999997</v>
      </c>
    </row>
    <row r="123" spans="1:5" x14ac:dyDescent="0.3">
      <c r="A123" s="550" t="s">
        <v>340</v>
      </c>
      <c r="C123" s="554">
        <v>0</v>
      </c>
      <c r="D123" s="554">
        <v>0</v>
      </c>
      <c r="E123" s="554">
        <v>0</v>
      </c>
    </row>
    <row r="124" spans="1:5" x14ac:dyDescent="0.3">
      <c r="A124" s="550" t="s">
        <v>341</v>
      </c>
      <c r="C124" s="558">
        <v>0</v>
      </c>
      <c r="D124" s="558">
        <v>0</v>
      </c>
      <c r="E124" s="558">
        <v>0</v>
      </c>
    </row>
    <row r="125" spans="1:5" x14ac:dyDescent="0.3">
      <c r="C125" s="558"/>
      <c r="D125" s="558"/>
      <c r="E125" s="558"/>
    </row>
    <row r="126" spans="1:5" x14ac:dyDescent="0.3">
      <c r="A126" s="550" t="s">
        <v>342</v>
      </c>
      <c r="C126" s="558"/>
      <c r="D126" s="558"/>
      <c r="E126" s="558"/>
    </row>
    <row r="127" spans="1:5" x14ac:dyDescent="0.3">
      <c r="A127" s="550" t="s">
        <v>343</v>
      </c>
      <c r="C127" s="558">
        <v>0</v>
      </c>
      <c r="D127" s="558">
        <v>0</v>
      </c>
      <c r="E127" s="558">
        <v>0</v>
      </c>
    </row>
    <row r="128" spans="1:5" x14ac:dyDescent="0.3">
      <c r="A128" s="550" t="s">
        <v>344</v>
      </c>
      <c r="C128" s="554">
        <v>63608</v>
      </c>
      <c r="D128" s="554">
        <v>0</v>
      </c>
      <c r="E128" s="554">
        <v>0</v>
      </c>
    </row>
    <row r="129" spans="1:5" x14ac:dyDescent="0.3">
      <c r="A129" s="550" t="s">
        <v>345</v>
      </c>
      <c r="C129" s="554">
        <v>0</v>
      </c>
      <c r="D129" s="554">
        <v>0</v>
      </c>
      <c r="E129" s="554">
        <v>0</v>
      </c>
    </row>
    <row r="130" spans="1:5" x14ac:dyDescent="0.3">
      <c r="A130" s="550" t="s">
        <v>346</v>
      </c>
      <c r="C130" s="554">
        <v>0</v>
      </c>
      <c r="D130" s="554">
        <v>0</v>
      </c>
      <c r="E130" s="554">
        <v>0</v>
      </c>
    </row>
    <row r="131" spans="1:5" x14ac:dyDescent="0.3">
      <c r="A131" s="550" t="s">
        <v>347</v>
      </c>
      <c r="C131" s="554">
        <v>0</v>
      </c>
      <c r="D131" s="554">
        <v>0</v>
      </c>
      <c r="E131" s="554">
        <v>0</v>
      </c>
    </row>
    <row r="132" spans="1:5" x14ac:dyDescent="0.3">
      <c r="A132" s="550" t="s">
        <v>348</v>
      </c>
      <c r="C132" s="554">
        <v>0</v>
      </c>
      <c r="D132" s="554">
        <v>0</v>
      </c>
      <c r="E132" s="554">
        <v>0</v>
      </c>
    </row>
    <row r="133" spans="1:5" x14ac:dyDescent="0.3">
      <c r="A133" s="550" t="s">
        <v>349</v>
      </c>
      <c r="C133" s="554">
        <v>0</v>
      </c>
      <c r="D133" s="554">
        <v>0</v>
      </c>
      <c r="E133" s="554">
        <v>0</v>
      </c>
    </row>
    <row r="134" spans="1:5" x14ac:dyDescent="0.3">
      <c r="A134" s="550" t="s">
        <v>349</v>
      </c>
      <c r="C134" s="554">
        <v>0</v>
      </c>
      <c r="D134" s="554">
        <v>0</v>
      </c>
      <c r="E134" s="554">
        <v>0</v>
      </c>
    </row>
    <row r="135" spans="1:5" x14ac:dyDescent="0.3">
      <c r="A135" s="550" t="s">
        <v>349</v>
      </c>
      <c r="C135" s="554">
        <v>0</v>
      </c>
      <c r="D135" s="554">
        <v>0</v>
      </c>
      <c r="E135" s="554">
        <v>0</v>
      </c>
    </row>
    <row r="136" spans="1:5" x14ac:dyDescent="0.3">
      <c r="A136" s="550" t="s">
        <v>350</v>
      </c>
      <c r="C136" s="554">
        <v>0</v>
      </c>
      <c r="D136" s="554">
        <v>0</v>
      </c>
      <c r="E136" s="554">
        <v>0</v>
      </c>
    </row>
    <row r="137" spans="1:5" x14ac:dyDescent="0.3">
      <c r="A137" s="550" t="s">
        <v>338</v>
      </c>
      <c r="C137" s="554">
        <v>0</v>
      </c>
      <c r="D137" s="554">
        <v>0</v>
      </c>
      <c r="E137" s="554">
        <v>0</v>
      </c>
    </row>
    <row r="138" spans="1:5" x14ac:dyDescent="0.3">
      <c r="A138" s="550" t="s">
        <v>318</v>
      </c>
      <c r="C138" s="570"/>
      <c r="D138" s="570"/>
      <c r="E138" s="570"/>
    </row>
    <row r="139" spans="1:5" x14ac:dyDescent="0.3">
      <c r="A139" s="550" t="s">
        <v>351</v>
      </c>
      <c r="C139" s="570"/>
      <c r="D139" s="570"/>
      <c r="E139" s="570"/>
    </row>
    <row r="140" spans="1:5" x14ac:dyDescent="0.3">
      <c r="A140" s="550" t="s">
        <v>91</v>
      </c>
      <c r="C140" s="554">
        <v>829917</v>
      </c>
      <c r="D140" s="554">
        <v>311609.19999999995</v>
      </c>
    </row>
    <row r="141" spans="1:5" x14ac:dyDescent="0.3">
      <c r="A141" s="550" t="s">
        <v>93</v>
      </c>
      <c r="C141" s="554">
        <v>1279957.2</v>
      </c>
      <c r="D141" s="554">
        <v>255533.34311474441</v>
      </c>
    </row>
    <row r="142" spans="1:5" x14ac:dyDescent="0.3">
      <c r="A142" s="550" t="s">
        <v>94</v>
      </c>
      <c r="C142" s="554">
        <v>1467130.2</v>
      </c>
      <c r="D142" s="554">
        <v>851282.29117855523</v>
      </c>
    </row>
    <row r="143" spans="1:5" x14ac:dyDescent="0.3">
      <c r="A143" s="550" t="s">
        <v>95</v>
      </c>
      <c r="C143" s="558">
        <v>1298841.2</v>
      </c>
      <c r="D143" s="558">
        <v>536308.45232956368</v>
      </c>
    </row>
    <row r="144" spans="1:5" x14ac:dyDescent="0.3">
      <c r="A144" s="550" t="s">
        <v>96</v>
      </c>
      <c r="C144" s="558">
        <v>1012580.2</v>
      </c>
      <c r="D144" s="558">
        <v>694604.7460893644</v>
      </c>
    </row>
    <row r="145" spans="1:4" x14ac:dyDescent="0.3">
      <c r="A145" s="550" t="s">
        <v>97</v>
      </c>
      <c r="C145" s="558">
        <v>1059528.2</v>
      </c>
      <c r="D145" s="558">
        <v>633021.60517422471</v>
      </c>
    </row>
    <row r="146" spans="1:4" x14ac:dyDescent="0.3">
      <c r="A146" s="550" t="s">
        <v>98</v>
      </c>
      <c r="C146" s="558">
        <v>899043.2</v>
      </c>
      <c r="D146" s="558">
        <v>542558.81773691869</v>
      </c>
    </row>
    <row r="147" spans="1:4" x14ac:dyDescent="0.3">
      <c r="A147" s="550" t="s">
        <v>99</v>
      </c>
      <c r="C147" s="558">
        <v>1037090.2</v>
      </c>
      <c r="D147" s="558">
        <v>835652.7456601382</v>
      </c>
    </row>
    <row r="148" spans="1:4" x14ac:dyDescent="0.3">
      <c r="A148" s="550" t="s">
        <v>100</v>
      </c>
      <c r="C148" s="558">
        <v>1394729.2</v>
      </c>
      <c r="D148" s="558">
        <v>789003.27225311531</v>
      </c>
    </row>
    <row r="149" spans="1:4" x14ac:dyDescent="0.3">
      <c r="A149" s="550" t="s">
        <v>101</v>
      </c>
      <c r="C149" s="558">
        <v>756559.2</v>
      </c>
      <c r="D149" s="558">
        <v>474525.81788273214</v>
      </c>
    </row>
    <row r="150" spans="1:4" x14ac:dyDescent="0.3">
      <c r="A150" s="550" t="s">
        <v>102</v>
      </c>
      <c r="C150" s="558">
        <v>664623.19999999995</v>
      </c>
      <c r="D150" s="558">
        <v>683415.78289342381</v>
      </c>
    </row>
    <row r="151" spans="1:4" x14ac:dyDescent="0.3">
      <c r="A151" s="550" t="s">
        <v>103</v>
      </c>
      <c r="C151" s="558">
        <v>353444.19999999995</v>
      </c>
      <c r="D151" s="558">
        <v>708013.09138969181</v>
      </c>
    </row>
    <row r="152" spans="1:4" x14ac:dyDescent="0.3">
      <c r="A152" s="550" t="s">
        <v>104</v>
      </c>
      <c r="C152" s="558">
        <v>311609.19999999995</v>
      </c>
      <c r="D152" s="558">
        <v>243730.43707232608</v>
      </c>
    </row>
    <row r="153" spans="1:4" x14ac:dyDescent="0.3">
      <c r="C153" s="558"/>
      <c r="D153" s="558"/>
    </row>
    <row r="154" spans="1:4" x14ac:dyDescent="0.3">
      <c r="C154" s="558"/>
      <c r="D154" s="558"/>
    </row>
  </sheetData>
  <conditionalFormatting sqref="A77">
    <cfRule type="expression" dxfId="1" priority="2" stopIfTrue="1">
      <formula>$E$87=""</formula>
    </cfRule>
  </conditionalFormatting>
  <conditionalFormatting sqref="A78">
    <cfRule type="expression" dxfId="0" priority="1" stopIfTrue="1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DD9-8253-4A74-8DDB-AB68A5776ED1}">
  <sheetPr>
    <tabColor theme="0" tint="-0.499984740745262"/>
  </sheetPr>
  <dimension ref="A1:A16"/>
  <sheetViews>
    <sheetView workbookViewId="0"/>
  </sheetViews>
  <sheetFormatPr defaultColWidth="9.1796875" defaultRowHeight="12.5" x14ac:dyDescent="0.25"/>
  <cols>
    <col min="1" max="1" width="150.6328125" style="398" customWidth="1"/>
    <col min="2" max="16384" width="9.1796875" style="398"/>
  </cols>
  <sheetData>
    <row r="1" spans="1:1" x14ac:dyDescent="0.25">
      <c r="A1" s="397" t="s">
        <v>131</v>
      </c>
    </row>
    <row r="2" spans="1:1" x14ac:dyDescent="0.25">
      <c r="A2" s="397" t="s">
        <v>128</v>
      </c>
    </row>
    <row r="3" spans="1:1" x14ac:dyDescent="0.25">
      <c r="A3" s="397" t="s">
        <v>129</v>
      </c>
    </row>
    <row r="4" spans="1:1" x14ac:dyDescent="0.25">
      <c r="A4" s="397" t="s">
        <v>130</v>
      </c>
    </row>
    <row r="6" spans="1:1" x14ac:dyDescent="0.25">
      <c r="A6" s="397" t="s">
        <v>133</v>
      </c>
    </row>
    <row r="7" spans="1:1" x14ac:dyDescent="0.25">
      <c r="A7" s="397" t="s">
        <v>113</v>
      </c>
    </row>
    <row r="8" spans="1:1" x14ac:dyDescent="0.25">
      <c r="A8" s="397" t="s">
        <v>115</v>
      </c>
    </row>
    <row r="10" spans="1:1" x14ac:dyDescent="0.25">
      <c r="A10" s="397" t="s">
        <v>131</v>
      </c>
    </row>
    <row r="11" spans="1:1" ht="15" x14ac:dyDescent="0.3">
      <c r="A11" s="155" t="s">
        <v>8</v>
      </c>
    </row>
    <row r="12" spans="1:1" ht="15" x14ac:dyDescent="0.3">
      <c r="A12" s="155" t="s">
        <v>10</v>
      </c>
    </row>
    <row r="13" spans="1:1" ht="15" x14ac:dyDescent="0.3">
      <c r="A13" s="155" t="s">
        <v>12</v>
      </c>
    </row>
    <row r="15" spans="1:1" ht="15" x14ac:dyDescent="0.25">
      <c r="A15" s="214" t="s">
        <v>192</v>
      </c>
    </row>
    <row r="16" spans="1:1" ht="15" x14ac:dyDescent="0.25">
      <c r="A16" s="214" t="s">
        <v>193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LVUSD</cp:lastModifiedBy>
  <cp:revision/>
  <cp:lastPrinted>2021-07-06T15:47:29Z</cp:lastPrinted>
  <dcterms:created xsi:type="dcterms:W3CDTF">2005-05-06T21:06:28Z</dcterms:created>
  <dcterms:modified xsi:type="dcterms:W3CDTF">2022-06-27T18:20:52Z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