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csmci-my.sharepoint.com/personal/aguibord_csmci_com/Documents/Schools/Granite Mountain/2022-23/Reporting/1st Interim/"/>
    </mc:Choice>
  </mc:AlternateContent>
  <xr:revisionPtr revIDLastSave="95" documentId="8_{546BCC48-F420-4D65-A316-DD5DF3BE284C}" xr6:coauthVersionLast="47" xr6:coauthVersionMax="47" xr10:uidLastSave="{440E6F03-356D-4CBF-B2B1-94C09E4DDB55}"/>
  <bookViews>
    <workbookView xWindow="-74730" yWindow="12525" windowWidth="57600" windowHeight="24105" activeTab="1" xr2:uid="{00000000-000D-0000-FFFF-FFFF00000000}"/>
  </bookViews>
  <sheets>
    <sheet name="Instructions" sheetId="6" r:id="rId1"/>
    <sheet name="Review" sheetId="2" r:id="rId2"/>
    <sheet name="Graphs &amp; Charts" sheetId="3" r:id="rId3"/>
    <sheet name="Data" sheetId="5" r:id="rId4"/>
    <sheet name="Drop Down Lists" sheetId="4" r:id="rId5"/>
  </sheets>
  <definedNames>
    <definedName name="_xlnm.Print_Area" localSheetId="1">Review!$A$1:$J$422</definedName>
    <definedName name="_xlnm.Print_Titles" localSheetId="1">Review!$4:$7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70" i="2" l="1"/>
  <c r="H170" i="2"/>
  <c r="G170" i="2"/>
  <c r="E48" i="2" l="1"/>
  <c r="E47" i="2"/>
  <c r="H48" i="2"/>
  <c r="H47" i="2"/>
  <c r="E152" i="2"/>
  <c r="E153" i="2" l="1"/>
  <c r="F338" i="2"/>
  <c r="F337" i="2"/>
  <c r="D233" i="2"/>
  <c r="D221" i="2"/>
  <c r="E349" i="2"/>
  <c r="J96" i="2"/>
  <c r="I96" i="2"/>
  <c r="H96" i="2"/>
  <c r="J95" i="2"/>
  <c r="I95" i="2"/>
  <c r="F107" i="2"/>
  <c r="C385" i="2"/>
  <c r="E397" i="2"/>
  <c r="D397" i="2"/>
  <c r="E396" i="2"/>
  <c r="D396" i="2"/>
  <c r="E395" i="2"/>
  <c r="D395" i="2"/>
  <c r="E394" i="2"/>
  <c r="D394" i="2"/>
  <c r="E393" i="2"/>
  <c r="D393" i="2"/>
  <c r="E392" i="2"/>
  <c r="D392" i="2"/>
  <c r="E391" i="2"/>
  <c r="D391" i="2"/>
  <c r="E390" i="2"/>
  <c r="D390" i="2"/>
  <c r="E389" i="2"/>
  <c r="D389" i="2"/>
  <c r="E388" i="2"/>
  <c r="D388" i="2"/>
  <c r="E387" i="2"/>
  <c r="D387" i="2"/>
  <c r="E386" i="2"/>
  <c r="D386" i="2"/>
  <c r="I376" i="2"/>
  <c r="G376" i="2"/>
  <c r="E376" i="2"/>
  <c r="H372" i="2"/>
  <c r="F372" i="2"/>
  <c r="D372" i="2"/>
  <c r="H371" i="2"/>
  <c r="F371" i="2"/>
  <c r="D371" i="2"/>
  <c r="H370" i="2"/>
  <c r="F370" i="2"/>
  <c r="D370" i="2"/>
  <c r="H369" i="2"/>
  <c r="F369" i="2"/>
  <c r="D369" i="2"/>
  <c r="H368" i="2"/>
  <c r="F368" i="2"/>
  <c r="D368" i="2"/>
  <c r="H367" i="2"/>
  <c r="F367" i="2"/>
  <c r="D367" i="2"/>
  <c r="H366" i="2"/>
  <c r="F366" i="2"/>
  <c r="D366" i="2"/>
  <c r="H365" i="2"/>
  <c r="F365" i="2"/>
  <c r="D365" i="2"/>
  <c r="H364" i="2"/>
  <c r="F364" i="2"/>
  <c r="D364" i="2"/>
  <c r="H363" i="2"/>
  <c r="F363" i="2"/>
  <c r="D363" i="2"/>
  <c r="H362" i="2"/>
  <c r="F362" i="2"/>
  <c r="D362" i="2"/>
  <c r="I373" i="2"/>
  <c r="G373" i="2"/>
  <c r="E373" i="2"/>
  <c r="G351" i="2"/>
  <c r="E351" i="2"/>
  <c r="D351" i="2"/>
  <c r="G350" i="2"/>
  <c r="E350" i="2"/>
  <c r="D350" i="2"/>
  <c r="G349" i="2"/>
  <c r="D349" i="2"/>
  <c r="E322" i="2"/>
  <c r="E321" i="2"/>
  <c r="E320" i="2"/>
  <c r="E290" i="2"/>
  <c r="H317" i="2" s="1"/>
  <c r="E289" i="2"/>
  <c r="H316" i="2" s="1"/>
  <c r="E288" i="2"/>
  <c r="H315" i="2" s="1"/>
  <c r="E307" i="2"/>
  <c r="I317" i="2" s="1"/>
  <c r="E306" i="2"/>
  <c r="I316" i="2" s="1"/>
  <c r="E305" i="2"/>
  <c r="I315" i="2" s="1"/>
  <c r="H158" i="2"/>
  <c r="F158" i="2"/>
  <c r="I154" i="2"/>
  <c r="G154" i="2"/>
  <c r="E154" i="2"/>
  <c r="I153" i="2"/>
  <c r="G153" i="2"/>
  <c r="I152" i="2"/>
  <c r="G152" i="2"/>
  <c r="G241" i="2"/>
  <c r="F241" i="2"/>
  <c r="E241" i="2"/>
  <c r="D241" i="2"/>
  <c r="G240" i="2"/>
  <c r="F240" i="2"/>
  <c r="E240" i="2"/>
  <c r="D240" i="2"/>
  <c r="G239" i="2"/>
  <c r="F239" i="2"/>
  <c r="E239" i="2"/>
  <c r="D239" i="2"/>
  <c r="G238" i="2"/>
  <c r="F238" i="2"/>
  <c r="E238" i="2"/>
  <c r="D238" i="2"/>
  <c r="G237" i="2"/>
  <c r="F237" i="2"/>
  <c r="E237" i="2"/>
  <c r="D237" i="2"/>
  <c r="G236" i="2"/>
  <c r="F236" i="2"/>
  <c r="E236" i="2"/>
  <c r="D236" i="2"/>
  <c r="G235" i="2"/>
  <c r="F235" i="2"/>
  <c r="E235" i="2"/>
  <c r="D235" i="2"/>
  <c r="G234" i="2"/>
  <c r="F234" i="2"/>
  <c r="E234" i="2"/>
  <c r="D234" i="2"/>
  <c r="G230" i="2"/>
  <c r="F230" i="2"/>
  <c r="E230" i="2"/>
  <c r="D230" i="2"/>
  <c r="G229" i="2"/>
  <c r="F229" i="2"/>
  <c r="E229" i="2"/>
  <c r="D229" i="2"/>
  <c r="G228" i="2"/>
  <c r="F228" i="2"/>
  <c r="E228" i="2"/>
  <c r="D228" i="2"/>
  <c r="G227" i="2"/>
  <c r="F227" i="2"/>
  <c r="E227" i="2"/>
  <c r="D227" i="2"/>
  <c r="G226" i="2"/>
  <c r="F226" i="2"/>
  <c r="E226" i="2"/>
  <c r="D226" i="2"/>
  <c r="G225" i="2"/>
  <c r="F225" i="2"/>
  <c r="E225" i="2"/>
  <c r="D225" i="2"/>
  <c r="G224" i="2"/>
  <c r="F224" i="2"/>
  <c r="E224" i="2"/>
  <c r="D224" i="2"/>
  <c r="G223" i="2"/>
  <c r="F223" i="2"/>
  <c r="E223" i="2"/>
  <c r="D223" i="2"/>
  <c r="G222" i="2"/>
  <c r="F222" i="2"/>
  <c r="E222" i="2"/>
  <c r="D222" i="2"/>
  <c r="C202" i="2"/>
  <c r="G210" i="2"/>
  <c r="F210" i="2"/>
  <c r="E210" i="2"/>
  <c r="G209" i="2"/>
  <c r="F209" i="2"/>
  <c r="E209" i="2"/>
  <c r="G208" i="2"/>
  <c r="F208" i="2"/>
  <c r="E208" i="2"/>
  <c r="G207" i="2"/>
  <c r="F207" i="2"/>
  <c r="E207" i="2"/>
  <c r="G206" i="2"/>
  <c r="F206" i="2"/>
  <c r="E206" i="2"/>
  <c r="G190" i="2"/>
  <c r="F190" i="2"/>
  <c r="E190" i="2"/>
  <c r="F124" i="2"/>
  <c r="J149" i="2" s="1"/>
  <c r="E124" i="2"/>
  <c r="D124" i="2"/>
  <c r="F123" i="2"/>
  <c r="H149" i="2" s="1"/>
  <c r="E123" i="2"/>
  <c r="H148" i="2" s="1"/>
  <c r="D123" i="2"/>
  <c r="H150" i="2" s="1"/>
  <c r="F122" i="2"/>
  <c r="F149" i="2" s="1"/>
  <c r="E122" i="2"/>
  <c r="F148" i="2" s="1"/>
  <c r="D122" i="2"/>
  <c r="F150" i="2" s="1"/>
  <c r="C122" i="2"/>
  <c r="F109" i="2"/>
  <c r="I149" i="2" s="1"/>
  <c r="E109" i="2"/>
  <c r="D109" i="2"/>
  <c r="F108" i="2"/>
  <c r="G149" i="2" s="1"/>
  <c r="E108" i="2"/>
  <c r="G148" i="2" s="1"/>
  <c r="D108" i="2"/>
  <c r="G150" i="2" s="1"/>
  <c r="E107" i="2"/>
  <c r="E148" i="2" s="1"/>
  <c r="D107" i="2"/>
  <c r="C107" i="2"/>
  <c r="E339" i="2"/>
  <c r="D339" i="2"/>
  <c r="D342" i="2"/>
  <c r="D341" i="2"/>
  <c r="D340" i="2"/>
  <c r="E342" i="2"/>
  <c r="E341" i="2"/>
  <c r="F341" i="2" s="1"/>
  <c r="E340" i="2"/>
  <c r="F342" i="2" l="1"/>
  <c r="H109" i="2"/>
  <c r="J109" i="2" s="1"/>
  <c r="F350" i="2"/>
  <c r="F339" i="2"/>
  <c r="F340" i="2"/>
  <c r="H124" i="2"/>
  <c r="G155" i="2"/>
  <c r="G156" i="2" s="1"/>
  <c r="G246" i="2" s="1"/>
  <c r="F242" i="2"/>
  <c r="G122" i="2"/>
  <c r="F151" i="2" s="1"/>
  <c r="G242" i="2"/>
  <c r="E150" i="2"/>
  <c r="I155" i="2"/>
  <c r="I156" i="2" s="1"/>
  <c r="H246" i="2" s="1"/>
  <c r="I109" i="2"/>
  <c r="G109" i="2"/>
  <c r="E155" i="2"/>
  <c r="D242" i="2"/>
  <c r="H108" i="2"/>
  <c r="I108" i="2" s="1"/>
  <c r="J148" i="2"/>
  <c r="G158" i="2"/>
  <c r="G159" i="2" s="1"/>
  <c r="F351" i="2"/>
  <c r="D373" i="2"/>
  <c r="E374" i="2" s="1"/>
  <c r="E377" i="2" s="1"/>
  <c r="H373" i="2"/>
  <c r="I374" i="2" s="1"/>
  <c r="I377" i="2" s="1"/>
  <c r="I158" i="2"/>
  <c r="H122" i="2"/>
  <c r="E242" i="2"/>
  <c r="F373" i="2"/>
  <c r="G374" i="2" s="1"/>
  <c r="G377" i="2" s="1"/>
  <c r="G123" i="2"/>
  <c r="H151" i="2" s="1"/>
  <c r="J150" i="2" s="1"/>
  <c r="I148" i="2"/>
  <c r="G107" i="2"/>
  <c r="E151" i="2" s="1"/>
  <c r="F349" i="2"/>
  <c r="E149" i="2"/>
  <c r="H107" i="2"/>
  <c r="H123" i="2"/>
  <c r="G124" i="2"/>
  <c r="G108" i="2"/>
  <c r="G151" i="2" s="1"/>
  <c r="I150" i="2" s="1"/>
  <c r="F343" i="2"/>
  <c r="I48" i="2"/>
  <c r="I47" i="2"/>
  <c r="G48" i="2"/>
  <c r="G47" i="2"/>
  <c r="D48" i="2"/>
  <c r="D47" i="2"/>
  <c r="H53" i="2"/>
  <c r="E53" i="2"/>
  <c r="E302" i="2"/>
  <c r="E301" i="2"/>
  <c r="E300" i="2"/>
  <c r="E285" i="2"/>
  <c r="E284" i="2"/>
  <c r="E283" i="2"/>
  <c r="J151" i="2" l="1"/>
  <c r="I159" i="2"/>
  <c r="J108" i="2"/>
  <c r="I151" i="2"/>
  <c r="E156" i="2"/>
  <c r="F246" i="2" s="1"/>
  <c r="F75" i="2"/>
  <c r="F89" i="2"/>
  <c r="F82" i="2"/>
  <c r="E89" i="2"/>
  <c r="E82" i="2"/>
  <c r="E75" i="2"/>
  <c r="G340" i="2"/>
  <c r="G341" i="2"/>
  <c r="G342" i="2"/>
  <c r="J107" i="2"/>
  <c r="I107" i="2" s="1"/>
  <c r="G297" i="2"/>
  <c r="G296" i="2"/>
  <c r="G295" i="2"/>
  <c r="I280" i="2"/>
  <c r="I279" i="2"/>
  <c r="I278" i="2"/>
  <c r="D158" i="2"/>
  <c r="E158" i="2" s="1"/>
  <c r="E159" i="2" s="1"/>
  <c r="J3" i="2" l="1"/>
  <c r="H280" i="2" l="1"/>
  <c r="H279" i="2"/>
  <c r="H278" i="2"/>
  <c r="F279" i="2" l="1"/>
  <c r="C42" i="3"/>
  <c r="D42" i="3"/>
  <c r="E42" i="3"/>
  <c r="C43" i="3"/>
  <c r="D43" i="3"/>
  <c r="E43" i="3"/>
  <c r="E41" i="3"/>
  <c r="D41" i="3"/>
  <c r="C41" i="3"/>
  <c r="H26" i="3"/>
  <c r="H25" i="3"/>
  <c r="E26" i="3"/>
  <c r="E27" i="3"/>
  <c r="D26" i="3"/>
  <c r="D27" i="3"/>
  <c r="E25" i="3"/>
  <c r="D25" i="3"/>
  <c r="C25" i="3"/>
  <c r="C4" i="3"/>
  <c r="C5" i="3"/>
  <c r="C3" i="3"/>
  <c r="B4" i="3"/>
  <c r="B5" i="3"/>
  <c r="B3" i="3"/>
  <c r="A4" i="3"/>
  <c r="A5" i="3"/>
  <c r="A6" i="3"/>
  <c r="A8" i="3"/>
  <c r="A9" i="3"/>
  <c r="A3" i="3"/>
  <c r="B28" i="3" l="1"/>
  <c r="C46" i="3"/>
  <c r="C45" i="3"/>
  <c r="C30" i="3"/>
  <c r="C29" i="3"/>
  <c r="C28" i="3"/>
  <c r="C18" i="2" l="1"/>
  <c r="E295" i="2"/>
  <c r="F295" i="2"/>
  <c r="D297" i="2"/>
  <c r="B372" i="2"/>
  <c r="B363" i="2"/>
  <c r="B364" i="2"/>
  <c r="B365" i="2"/>
  <c r="B366" i="2"/>
  <c r="B367" i="2"/>
  <c r="B368" i="2"/>
  <c r="B369" i="2"/>
  <c r="B370" i="2"/>
  <c r="B371" i="2"/>
  <c r="B362" i="2"/>
  <c r="F297" i="2"/>
  <c r="F296" i="2"/>
  <c r="E297" i="2"/>
  <c r="E296" i="2"/>
  <c r="D296" i="2"/>
  <c r="D295" i="2"/>
  <c r="E316" i="2" l="1"/>
  <c r="G315" i="2"/>
  <c r="E315" i="2"/>
  <c r="E317" i="2"/>
  <c r="G317" i="2"/>
  <c r="G316" i="2"/>
  <c r="D306" i="2"/>
  <c r="F306" i="2" s="1"/>
  <c r="D305" i="2"/>
  <c r="G305" i="2" s="1"/>
  <c r="D307" i="2"/>
  <c r="F307" i="2" s="1"/>
  <c r="I358" i="2"/>
  <c r="G332" i="2"/>
  <c r="G334" i="2" s="1"/>
  <c r="F332" i="2"/>
  <c r="F334" i="2" s="1"/>
  <c r="E332" i="2"/>
  <c r="E334" i="2" s="1"/>
  <c r="G327" i="2"/>
  <c r="G329" i="2" s="1"/>
  <c r="F327" i="2"/>
  <c r="E327" i="2"/>
  <c r="I199" i="2"/>
  <c r="H257" i="2"/>
  <c r="F257" i="2"/>
  <c r="D257" i="2"/>
  <c r="G307" i="2" l="1"/>
  <c r="F305" i="2"/>
  <c r="G306" i="2"/>
  <c r="F329" i="2"/>
  <c r="E329" i="2"/>
  <c r="E30" i="3" l="1"/>
  <c r="E29" i="3"/>
  <c r="E28" i="3"/>
  <c r="B44" i="3"/>
  <c r="G280" i="2"/>
  <c r="G278" i="2"/>
  <c r="E280" i="2"/>
  <c r="E279" i="2"/>
  <c r="E278" i="2"/>
  <c r="F280" i="2"/>
  <c r="F278" i="2"/>
  <c r="D280" i="2"/>
  <c r="D279" i="2"/>
  <c r="D278" i="2"/>
  <c r="I174" i="2"/>
  <c r="H174" i="2"/>
  <c r="G174" i="2"/>
  <c r="F52" i="2"/>
  <c r="F51" i="2"/>
  <c r="H52" i="2" s="1"/>
  <c r="F50" i="2"/>
  <c r="F49" i="2"/>
  <c r="D6" i="2"/>
  <c r="D4" i="2"/>
  <c r="D5" i="2"/>
  <c r="D9" i="2"/>
  <c r="H50" i="2" l="1"/>
  <c r="H49" i="2"/>
  <c r="H51" i="2"/>
  <c r="G49" i="2"/>
  <c r="F315" i="2"/>
  <c r="D315" i="2"/>
  <c r="F316" i="2"/>
  <c r="F317" i="2"/>
  <c r="D317" i="2"/>
  <c r="B9" i="3"/>
  <c r="D288" i="2"/>
  <c r="D290" i="2"/>
  <c r="B6" i="3"/>
  <c r="G50" i="2"/>
  <c r="B7" i="3"/>
  <c r="G51" i="2"/>
  <c r="B8" i="3"/>
  <c r="G52" i="2"/>
  <c r="G279" i="2"/>
  <c r="D289" i="2" s="1"/>
  <c r="G289" i="2" l="1"/>
  <c r="F289" i="2"/>
  <c r="F288" i="2"/>
  <c r="G288" i="2"/>
  <c r="D316" i="2"/>
  <c r="F290" i="2"/>
  <c r="G290" i="2"/>
  <c r="D322" i="2"/>
  <c r="F322" i="2" s="1"/>
  <c r="D320" i="2"/>
  <c r="F320" i="2" s="1"/>
  <c r="D321" i="2" l="1"/>
  <c r="F321" i="2" s="1"/>
  <c r="G191" i="2" l="1"/>
  <c r="F191" i="2"/>
  <c r="E191" i="2"/>
  <c r="I179" i="2"/>
  <c r="H179" i="2"/>
  <c r="G179" i="2"/>
  <c r="I175" i="2"/>
  <c r="H175" i="2"/>
  <c r="G175" i="2"/>
  <c r="H184" i="2" l="1"/>
  <c r="H176" i="2"/>
  <c r="G184" i="2"/>
  <c r="G176" i="2"/>
  <c r="I184" i="2"/>
  <c r="I176" i="2"/>
  <c r="H98" i="2"/>
  <c r="G119" i="2" l="1"/>
  <c r="F41" i="3" s="1"/>
  <c r="H119" i="2"/>
  <c r="G41" i="3" s="1"/>
  <c r="F135" i="2" l="1"/>
  <c r="E58" i="3" s="1"/>
  <c r="E135" i="2"/>
  <c r="D58" i="3" s="1"/>
  <c r="H120" i="2"/>
  <c r="G42" i="3" s="1"/>
  <c r="G120" i="2"/>
  <c r="F42" i="3" s="1"/>
  <c r="H104" i="2"/>
  <c r="J104" i="2" s="1"/>
  <c r="H105" i="2"/>
  <c r="J105" i="2" s="1"/>
  <c r="D65" i="2"/>
  <c r="F59" i="2"/>
  <c r="B105" i="2"/>
  <c r="B106" i="2"/>
  <c r="A27" i="3" s="1"/>
  <c r="B108" i="2"/>
  <c r="A29" i="3" s="1"/>
  <c r="B109" i="2"/>
  <c r="A30" i="3" s="1"/>
  <c r="B104" i="2"/>
  <c r="A25" i="3" s="1"/>
  <c r="B50" i="2"/>
  <c r="B66" i="2"/>
  <c r="B68" i="2"/>
  <c r="D79" i="2" s="1"/>
  <c r="B69" i="2"/>
  <c r="D86" i="2" s="1"/>
  <c r="B65" i="2"/>
  <c r="D66" i="2"/>
  <c r="G66" i="2" s="1"/>
  <c r="D67" i="2"/>
  <c r="G67" i="2" s="1"/>
  <c r="D68" i="2"/>
  <c r="G68" i="2" s="1"/>
  <c r="D69" i="2"/>
  <c r="G69" i="2" s="1"/>
  <c r="G65" i="2"/>
  <c r="B120" i="2" l="1"/>
  <c r="A26" i="3"/>
  <c r="G25" i="3"/>
  <c r="G26" i="3"/>
  <c r="I26" i="3"/>
  <c r="B67" i="2"/>
  <c r="D72" i="2" s="1"/>
  <c r="A7" i="3"/>
  <c r="B124" i="2"/>
  <c r="B123" i="2"/>
  <c r="B121" i="2"/>
  <c r="B119" i="2"/>
  <c r="B58" i="2"/>
  <c r="H135" i="2"/>
  <c r="G58" i="3" s="1"/>
  <c r="B107" i="2"/>
  <c r="B87" i="2"/>
  <c r="B80" i="2"/>
  <c r="A28" i="3" l="1"/>
  <c r="H95" i="2"/>
  <c r="B73" i="2"/>
  <c r="B139" i="2"/>
  <c r="I146" i="2" s="1"/>
  <c r="A46" i="3"/>
  <c r="B138" i="2"/>
  <c r="G146" i="2" s="1"/>
  <c r="F252" i="2" s="1"/>
  <c r="A45" i="3"/>
  <c r="B134" i="2"/>
  <c r="A41" i="3"/>
  <c r="B136" i="2"/>
  <c r="C339" i="2" s="1"/>
  <c r="A43" i="3"/>
  <c r="B135" i="2"/>
  <c r="A42" i="3"/>
  <c r="I168" i="2"/>
  <c r="G188" i="2" s="1"/>
  <c r="B122" i="2"/>
  <c r="A58" i="3" l="1"/>
  <c r="C338" i="2"/>
  <c r="A57" i="3"/>
  <c r="C337" i="2"/>
  <c r="H244" i="2"/>
  <c r="G205" i="2" s="1"/>
  <c r="G221" i="2" s="1"/>
  <c r="C279" i="2"/>
  <c r="A61" i="3"/>
  <c r="F168" i="2"/>
  <c r="A59" i="3"/>
  <c r="H168" i="2"/>
  <c r="G244" i="2" s="1"/>
  <c r="F205" i="2" s="1"/>
  <c r="F221" i="2" s="1"/>
  <c r="C280" i="2"/>
  <c r="A62" i="3"/>
  <c r="B137" i="2"/>
  <c r="E146" i="2" s="1"/>
  <c r="F244" i="2" s="1"/>
  <c r="E205" i="2" s="1"/>
  <c r="E221" i="2" s="1"/>
  <c r="A44" i="3"/>
  <c r="H252" i="2"/>
  <c r="F188" i="2" l="1"/>
  <c r="G326" i="2"/>
  <c r="G331" i="2" s="1"/>
  <c r="H266" i="2" s="1"/>
  <c r="G233" i="2"/>
  <c r="C290" i="2"/>
  <c r="C285" i="2"/>
  <c r="C289" i="2"/>
  <c r="C296" i="2" s="1"/>
  <c r="C284" i="2"/>
  <c r="G168" i="2"/>
  <c r="E188" i="2" s="1"/>
  <c r="C317" i="2"/>
  <c r="C322" i="2" s="1"/>
  <c r="C297" i="2"/>
  <c r="F326" i="2"/>
  <c r="F331" i="2" s="1"/>
  <c r="F266" i="2" s="1"/>
  <c r="F233" i="2"/>
  <c r="C278" i="2"/>
  <c r="A60" i="3"/>
  <c r="E326" i="2"/>
  <c r="E331" i="2" s="1"/>
  <c r="E233" i="2"/>
  <c r="H106" i="2"/>
  <c r="J106" i="2" s="1"/>
  <c r="C351" i="2" l="1"/>
  <c r="H360" i="2" s="1"/>
  <c r="C342" i="2"/>
  <c r="C316" i="2"/>
  <c r="C321" i="2" s="1"/>
  <c r="D252" i="2"/>
  <c r="C306" i="2"/>
  <c r="C301" i="2"/>
  <c r="C307" i="2"/>
  <c r="C302" i="2"/>
  <c r="C288" i="2"/>
  <c r="C295" i="2" s="1"/>
  <c r="C283" i="2"/>
  <c r="G27" i="3"/>
  <c r="D266" i="2"/>
  <c r="I27" i="3"/>
  <c r="C137" i="2"/>
  <c r="B60" i="3" s="1"/>
  <c r="C350" i="2" l="1"/>
  <c r="F360" i="2" s="1"/>
  <c r="E384" i="2" s="1"/>
  <c r="C341" i="2"/>
  <c r="C315" i="2"/>
  <c r="C320" i="2" s="1"/>
  <c r="C305" i="2"/>
  <c r="C300" i="2"/>
  <c r="H27" i="3"/>
  <c r="E65" i="2"/>
  <c r="F65" i="2" s="1"/>
  <c r="C349" i="2" l="1"/>
  <c r="D360" i="2" s="1"/>
  <c r="D384" i="2" s="1"/>
  <c r="C340" i="2"/>
  <c r="F134" i="2"/>
  <c r="E57" i="3" s="1"/>
  <c r="E134" i="2"/>
  <c r="D57" i="3" s="1"/>
  <c r="D134" i="2"/>
  <c r="C57" i="3" s="1"/>
  <c r="H352" i="2" l="1"/>
  <c r="E352" i="2"/>
  <c r="H180" i="2"/>
  <c r="G104" i="2"/>
  <c r="D105" i="2" s="1"/>
  <c r="F88" i="2"/>
  <c r="F74" i="2"/>
  <c r="F81" i="2"/>
  <c r="F83" i="2"/>
  <c r="F90" i="2"/>
  <c r="F76" i="2"/>
  <c r="E67" i="2"/>
  <c r="F67" i="2" s="1"/>
  <c r="E66" i="2"/>
  <c r="F66" i="2" s="1"/>
  <c r="E68" i="2"/>
  <c r="F68" i="2" s="1"/>
  <c r="E69" i="2"/>
  <c r="F69" i="2" s="1"/>
  <c r="C26" i="3" l="1"/>
  <c r="G105" i="2"/>
  <c r="D135" i="2"/>
  <c r="C58" i="3" s="1"/>
  <c r="I25" i="3"/>
  <c r="F25" i="3"/>
  <c r="G134" i="2"/>
  <c r="F57" i="3" s="1"/>
  <c r="D106" i="2" l="1"/>
  <c r="F26" i="3"/>
  <c r="G135" i="2"/>
  <c r="F58" i="3" s="1"/>
  <c r="H134" i="2"/>
  <c r="G57" i="3" s="1"/>
  <c r="C27" i="3" l="1"/>
  <c r="G106" i="2"/>
  <c r="D136" i="2"/>
  <c r="C59" i="3" s="1"/>
  <c r="E46" i="3"/>
  <c r="E45" i="3"/>
  <c r="E44" i="3"/>
  <c r="F136" i="2"/>
  <c r="E59" i="3" s="1"/>
  <c r="B111" i="2" l="1"/>
  <c r="F27" i="3"/>
  <c r="H351" i="2"/>
  <c r="F138" i="2"/>
  <c r="E61" i="3" s="1"/>
  <c r="F139" i="2"/>
  <c r="E62" i="3" s="1"/>
  <c r="F137" i="2"/>
  <c r="E60" i="3" s="1"/>
  <c r="C52" i="2"/>
  <c r="C9" i="3" l="1"/>
  <c r="I52" i="2"/>
  <c r="I178" i="2"/>
  <c r="G192" i="2"/>
  <c r="E90" i="2"/>
  <c r="H350" i="2"/>
  <c r="H349" i="2"/>
  <c r="C51" i="2"/>
  <c r="E52" i="2" s="1"/>
  <c r="E88" i="2" l="1"/>
  <c r="D52" i="2"/>
  <c r="I51" i="2"/>
  <c r="C8" i="3"/>
  <c r="H178" i="2"/>
  <c r="F192" i="2"/>
  <c r="E83" i="2"/>
  <c r="G121" i="2"/>
  <c r="F43" i="3" s="1"/>
  <c r="H121" i="2"/>
  <c r="G43" i="3" s="1"/>
  <c r="E136" i="2"/>
  <c r="D59" i="3" s="1"/>
  <c r="C50" i="2"/>
  <c r="E51" i="2" s="1"/>
  <c r="D51" i="2" l="1"/>
  <c r="E81" i="2"/>
  <c r="I50" i="2"/>
  <c r="C7" i="3"/>
  <c r="G136" i="2"/>
  <c r="F59" i="3" s="1"/>
  <c r="H136" i="2"/>
  <c r="G59" i="3" s="1"/>
  <c r="G178" i="2"/>
  <c r="E192" i="2"/>
  <c r="E76" i="2"/>
  <c r="C49" i="2"/>
  <c r="D30" i="3"/>
  <c r="D46" i="3"/>
  <c r="E50" i="2" l="1"/>
  <c r="E49" i="2"/>
  <c r="D49" i="2"/>
  <c r="D50" i="2"/>
  <c r="E74" i="2"/>
  <c r="I49" i="2"/>
  <c r="I53" i="2" s="1"/>
  <c r="J53" i="2" s="1"/>
  <c r="C6" i="3"/>
  <c r="G46" i="3"/>
  <c r="E139" i="2"/>
  <c r="D62" i="3" s="1"/>
  <c r="G30" i="3" l="1"/>
  <c r="J51" i="2"/>
  <c r="J52" i="2"/>
  <c r="J50" i="2"/>
  <c r="H139" i="2"/>
  <c r="G62" i="3" s="1"/>
  <c r="D29" i="3"/>
  <c r="D45" i="3"/>
  <c r="C44" i="3" l="1"/>
  <c r="B126" i="2"/>
  <c r="I30" i="3"/>
  <c r="D137" i="2"/>
  <c r="C60" i="3" s="1"/>
  <c r="D28" i="3"/>
  <c r="D44" i="3"/>
  <c r="G45" i="3"/>
  <c r="E138" i="2"/>
  <c r="D61" i="3" s="1"/>
  <c r="G29" i="3" l="1"/>
  <c r="H138" i="2"/>
  <c r="G61" i="3" s="1"/>
  <c r="I29" i="3"/>
  <c r="G44" i="3"/>
  <c r="E137" i="2"/>
  <c r="D60" i="3" s="1"/>
  <c r="F44" i="3" l="1"/>
  <c r="F245" i="2"/>
  <c r="F28" i="3"/>
  <c r="G28" i="3"/>
  <c r="H137" i="2"/>
  <c r="G60" i="3" s="1"/>
  <c r="G137" i="2"/>
  <c r="F60" i="3" s="1"/>
  <c r="I28" i="3" l="1"/>
  <c r="F45" i="3" l="1"/>
  <c r="D138" i="2"/>
  <c r="C61" i="3" s="1"/>
  <c r="F29" i="3" l="1"/>
  <c r="F30" i="3"/>
  <c r="G245" i="2"/>
  <c r="H245" i="2"/>
  <c r="G138" i="2"/>
  <c r="F61" i="3" s="1"/>
  <c r="H28" i="3" l="1"/>
  <c r="D139" i="2"/>
  <c r="C62" i="3" s="1"/>
  <c r="G139" i="2" l="1"/>
  <c r="F62" i="3" s="1"/>
  <c r="F46" i="3"/>
  <c r="H29" i="3" l="1"/>
  <c r="H3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Annette Baker</author>
  </authors>
  <commentList>
    <comment ref="D103" authorId="0" shapeId="0" xr:uid="{430E11E4-C75A-433A-90E8-7A6865570960}">
      <text>
        <r>
          <rPr>
            <b/>
            <sz val="9"/>
            <color indexed="81"/>
            <rFont val="Tahoma"/>
            <family val="2"/>
          </rPr>
          <t>Annette Baker:</t>
        </r>
        <r>
          <rPr>
            <sz val="9"/>
            <color indexed="81"/>
            <rFont val="Tahoma"/>
            <family val="2"/>
          </rPr>
          <t xml:space="preserve">
For Prior Years, use Amounts per Audit report.
For current year, use PY Unaudited Actual ending balance.</t>
        </r>
      </text>
    </comment>
    <comment ref="D107" authorId="0" shapeId="0" xr:uid="{678FF03A-296E-457F-B852-493624A216D4}">
      <text>
        <r>
          <rPr>
            <b/>
            <sz val="9"/>
            <color indexed="81"/>
            <rFont val="Tahoma"/>
            <family val="2"/>
          </rPr>
          <t>Annette Baker:</t>
        </r>
        <r>
          <rPr>
            <sz val="9"/>
            <color indexed="81"/>
            <rFont val="Tahoma"/>
            <family val="2"/>
          </rPr>
          <t xml:space="preserve">
PY Unaudited Actuals Ending Balance</t>
        </r>
      </text>
    </comment>
    <comment ref="D118" authorId="0" shapeId="0" xr:uid="{F8ACD0AA-0429-4062-89D1-B5F0BD481D0D}">
      <text>
        <r>
          <rPr>
            <b/>
            <sz val="9"/>
            <color indexed="81"/>
            <rFont val="Tahoma"/>
            <family val="2"/>
          </rPr>
          <t>Annette Baker:</t>
        </r>
        <r>
          <rPr>
            <sz val="9"/>
            <color indexed="81"/>
            <rFont val="Tahoma"/>
            <family val="2"/>
          </rPr>
          <t xml:space="preserve">
For Prior Years, use Amounts per Audit report.
For Current Year, use PY Unaudited Actual ending balance.</t>
        </r>
      </text>
    </comment>
    <comment ref="D122" authorId="0" shapeId="0" xr:uid="{F13C5A6B-BBA3-4CC0-A001-6F8B8C00025F}">
      <text>
        <r>
          <rPr>
            <b/>
            <sz val="9"/>
            <color indexed="81"/>
            <rFont val="Tahoma"/>
            <family val="2"/>
          </rPr>
          <t>Annette Baker:</t>
        </r>
        <r>
          <rPr>
            <sz val="9"/>
            <color indexed="81"/>
            <rFont val="Tahoma"/>
            <family val="2"/>
          </rPr>
          <t xml:space="preserve">
PY Unaudited Actuals Ending Balance</t>
        </r>
      </text>
    </comment>
  </commentList>
</comments>
</file>

<file path=xl/sharedStrings.xml><?xml version="1.0" encoding="utf-8"?>
<sst xmlns="http://schemas.openxmlformats.org/spreadsheetml/2006/main" count="579" uniqueCount="367">
  <si>
    <t>CHARTER SCHOOL BUDGET AND INTERIM REPORT</t>
  </si>
  <si>
    <t>DISTRICT REVIEW</t>
  </si>
  <si>
    <t>Fiscal Year:</t>
  </si>
  <si>
    <t>2019-20</t>
  </si>
  <si>
    <t>Charter School:</t>
  </si>
  <si>
    <t>Received
Yes or No</t>
  </si>
  <si>
    <t>Review Period:</t>
  </si>
  <si>
    <t>LCFF  Projections?</t>
  </si>
  <si>
    <t>Adopted Budget (7/1)</t>
  </si>
  <si>
    <t>Attendance Projections?</t>
  </si>
  <si>
    <t>First Interim (10/31)</t>
  </si>
  <si>
    <t>Multi-Year Projections?</t>
  </si>
  <si>
    <t>Second Interim (01/31)</t>
  </si>
  <si>
    <t>Assumptions?</t>
  </si>
  <si>
    <t>Cash Flow (Interims &amp; Budget)</t>
  </si>
  <si>
    <t xml:space="preserve">Debt Schedule </t>
  </si>
  <si>
    <t>Areas of Concern for District Oversight Action</t>
  </si>
  <si>
    <t>Actions Taken</t>
  </si>
  <si>
    <t>Review Completed By:</t>
  </si>
  <si>
    <t>Title:</t>
  </si>
  <si>
    <t>Date:</t>
  </si>
  <si>
    <t>Contact Phone:</t>
  </si>
  <si>
    <t>Contact Email:</t>
  </si>
  <si>
    <t xml:space="preserve">ADA PROJECTION  </t>
  </si>
  <si>
    <t xml:space="preserve"> </t>
  </si>
  <si>
    <t>Historical and Source DATA</t>
  </si>
  <si>
    <t>ADA</t>
  </si>
  <si>
    <t>Enrollment</t>
  </si>
  <si>
    <t>Enrollment Growth</t>
  </si>
  <si>
    <t>Ratio</t>
  </si>
  <si>
    <t>Charter Petition Enrollment Criteria</t>
  </si>
  <si>
    <t>Does the charter school have an enrollment cap?</t>
  </si>
  <si>
    <t>Petition Enrollment</t>
  </si>
  <si>
    <t>Actual/Projected Enrollment</t>
  </si>
  <si>
    <t>Difference</t>
  </si>
  <si>
    <t>% Difference</t>
  </si>
  <si>
    <t>2020-21</t>
  </si>
  <si>
    <t>3 Year Average ADA Test</t>
  </si>
  <si>
    <t>EST CBEDS</t>
  </si>
  <si>
    <t xml:space="preserve">  Comments:</t>
  </si>
  <si>
    <t xml:space="preserve">1.  % of Growth over Prior Year </t>
  </si>
  <si>
    <t>3.  Total Projected Charter ADA/Enroll</t>
  </si>
  <si>
    <t>Going Concern?</t>
  </si>
  <si>
    <t>UNRESTRICTED GENERAL FUND</t>
  </si>
  <si>
    <t>A</t>
  </si>
  <si>
    <t>B</t>
  </si>
  <si>
    <t>C</t>
  </si>
  <si>
    <t>E</t>
  </si>
  <si>
    <t>D=B-C</t>
  </si>
  <si>
    <t>D/C</t>
  </si>
  <si>
    <t>Audit Adjust.</t>
  </si>
  <si>
    <t>Beg. Balance</t>
  </si>
  <si>
    <t>Revenues</t>
  </si>
  <si>
    <t>Expense</t>
  </si>
  <si>
    <t>Ending</t>
  </si>
  <si>
    <t>Surplus/deficit</t>
  </si>
  <si>
    <t>Deficit Spending</t>
  </si>
  <si>
    <t>Percent Deficit</t>
  </si>
  <si>
    <t>RESTRICTED GENERAL FUND</t>
  </si>
  <si>
    <t>COMBINED GENERAL FUND</t>
  </si>
  <si>
    <t>Comments:</t>
  </si>
  <si>
    <t>RESERVE FOR ECONOMIC UNCERTAINTIES</t>
  </si>
  <si>
    <t>Unrestricted</t>
  </si>
  <si>
    <t>Restricted</t>
  </si>
  <si>
    <t>3. Beginning Fund Balance</t>
  </si>
  <si>
    <t>4. Ending Fund Balance</t>
  </si>
  <si>
    <t>Combined</t>
  </si>
  <si>
    <t>MULTI-YEAR PROJECTIONS:</t>
  </si>
  <si>
    <t>1. LCFF</t>
  </si>
  <si>
    <t>MYP LCFF Revenue (obj 8011-8099)</t>
  </si>
  <si>
    <t>Years</t>
  </si>
  <si>
    <t>Fund Balance as % of Total Expenditures</t>
  </si>
  <si>
    <t>Is the Charter School planning for any reductions?</t>
  </si>
  <si>
    <t>Are reductions included in the MYP?</t>
  </si>
  <si>
    <t>Have the reductions been board approved?</t>
  </si>
  <si>
    <t>Reductions</t>
  </si>
  <si>
    <t>What percentage of the charter school's student population is special education?</t>
  </si>
  <si>
    <t>Compare the Charter School's prior year Unaudited Actuals to Current Year Budget. Does the Current Year Budget seem reasonable?</t>
  </si>
  <si>
    <t>What STRS and/or PERS employer contribution rates were used?</t>
  </si>
  <si>
    <t>STRS</t>
  </si>
  <si>
    <t>Charter Assumption</t>
  </si>
  <si>
    <t>Approved Rate</t>
  </si>
  <si>
    <t>PERS</t>
  </si>
  <si>
    <t>If the charter school is planning for increases or decreases to staffing levels, please provide information here.</t>
  </si>
  <si>
    <t>Salary Incr/Decr
Yes or No</t>
  </si>
  <si>
    <t>%</t>
  </si>
  <si>
    <t>Certificated</t>
  </si>
  <si>
    <t xml:space="preserve">Classified            </t>
  </si>
  <si>
    <t>Mgmt/Oth</t>
  </si>
  <si>
    <t>DEBT/LIABILITIES</t>
  </si>
  <si>
    <t>CASH FLOW PROJECTIONS:</t>
  </si>
  <si>
    <t>Beginning Cash</t>
  </si>
  <si>
    <t>Cash Flow
Ending Cash Balance</t>
  </si>
  <si>
    <t>July</t>
  </si>
  <si>
    <t>August</t>
  </si>
  <si>
    <t>September</t>
  </si>
  <si>
    <t>October</t>
  </si>
  <si>
    <t>November</t>
  </si>
  <si>
    <t>December</t>
  </si>
  <si>
    <t>January</t>
  </si>
  <si>
    <t>February</t>
  </si>
  <si>
    <t>March</t>
  </si>
  <si>
    <t>April</t>
  </si>
  <si>
    <t>May</t>
  </si>
  <si>
    <t>June</t>
  </si>
  <si>
    <t>Date/Comment</t>
  </si>
  <si>
    <t>Follow-up Comments from Previous Reports:</t>
  </si>
  <si>
    <t>Authorizing District:</t>
  </si>
  <si>
    <t>P2 ADA</t>
  </si>
  <si>
    <t>Yes/No</t>
  </si>
  <si>
    <t>2. Growth is &lt;= 3 year Average</t>
  </si>
  <si>
    <t>Matches charter reports?</t>
  </si>
  <si>
    <t>Enrollment Cap</t>
  </si>
  <si>
    <t>Yes</t>
  </si>
  <si>
    <t>Historical 3 Year Average</t>
  </si>
  <si>
    <t>No</t>
  </si>
  <si>
    <t>Yes for "Going Concern" means the charter has resources necessary to continue to operate indefinately.</t>
  </si>
  <si>
    <t>P2 ADA Growth</t>
  </si>
  <si>
    <t>Audit Adjustment</t>
  </si>
  <si>
    <t>Restatements &amp;</t>
  </si>
  <si>
    <t>DEFICIT SPENDING TREND</t>
  </si>
  <si>
    <t>Unrestricted deficit spending in 2 or more consecutive years?    (Yes or No)</t>
  </si>
  <si>
    <t>Reserve Standard % and $</t>
  </si>
  <si>
    <t>Reserve %</t>
  </si>
  <si>
    <t>4b. Amount Designated for REU (9789)</t>
  </si>
  <si>
    <t>4c. Undesignated/Unappropriated (9790)</t>
  </si>
  <si>
    <t>4a. Amounts Non Spendable, Restricted, Committed (971X, 9740, 9750, 9760, 9780)</t>
  </si>
  <si>
    <t>Positive - Charter will meet it's financial obligations in current and 2 subsequent years</t>
  </si>
  <si>
    <t>Qualified - Charter may not meet its financial obligations for current or two subsequent years</t>
  </si>
  <si>
    <t>Negative -  Charter wil be unable to meet its financial obligations for the remainder of the current year or for the subsequent fiscal year</t>
  </si>
  <si>
    <t>Select from drop down list</t>
  </si>
  <si>
    <t>Authorizer Certification:</t>
  </si>
  <si>
    <t>Select From List</t>
  </si>
  <si>
    <t>LCFF Calculator Actual ADA</t>
  </si>
  <si>
    <t>LCFF Calculator Enrollment</t>
  </si>
  <si>
    <t>LCFF Calculator Funded ADA</t>
  </si>
  <si>
    <t>LCFF Calculator Total Phase-In Entitlement (obj 8011-8099)</t>
  </si>
  <si>
    <t>LCFF Calculator Unduplicated Count</t>
  </si>
  <si>
    <t>Unrestricted Fund Balance</t>
  </si>
  <si>
    <t>Does budgeted LCFF revenue match LCFF calculator?</t>
  </si>
  <si>
    <t>Do ADA projections in reporting template match LCFF calculator?</t>
  </si>
  <si>
    <t>Do Enrollment projections in reporting template match LCFF calculator?</t>
  </si>
  <si>
    <t>Reserve Standard Met/Not Met?</t>
  </si>
  <si>
    <t>In Lieu Tax Amount (8096 - MYP Budget Summary)</t>
  </si>
  <si>
    <t>Standard</t>
  </si>
  <si>
    <t>Exceeds Standard</t>
  </si>
  <si>
    <t xml:space="preserve">The standard for deficit spending is not more than one-third (1/3) of the charter's available unrestricted reserve percentage. </t>
  </si>
  <si>
    <t>AB602 Revenue</t>
  </si>
  <si>
    <t>Unrestricted Contribution to SPED</t>
  </si>
  <si>
    <t>Other SPED Revenue</t>
  </si>
  <si>
    <t xml:space="preserve">  Total SPED Funding</t>
  </si>
  <si>
    <t>SPED Expenditures</t>
  </si>
  <si>
    <t>LABOR</t>
  </si>
  <si>
    <t>Certificated Salaries</t>
  </si>
  <si>
    <t>Classified Salaries</t>
  </si>
  <si>
    <t>Benefits</t>
  </si>
  <si>
    <t>Books &amp; Supplies</t>
  </si>
  <si>
    <t>Contracts &amp; Services</t>
  </si>
  <si>
    <t>Capital Outlay</t>
  </si>
  <si>
    <t>Other Outgo</t>
  </si>
  <si>
    <t xml:space="preserve">  Total</t>
  </si>
  <si>
    <t>Understated?</t>
  </si>
  <si>
    <t>Salaries</t>
  </si>
  <si>
    <t>H&amp;W Rate*Cert FTE</t>
  </si>
  <si>
    <t>H&amp;W Rate*Class FTE</t>
  </si>
  <si>
    <t>Estimated Benefit Costs</t>
  </si>
  <si>
    <t>Labor Negotions (If known)</t>
  </si>
  <si>
    <t>Rent, Elec, Gas, Other</t>
  </si>
  <si>
    <t>Oversight Fees, Admn Contract, Other Contract</t>
  </si>
  <si>
    <t>Minimum Unrest Contracts and Services Budget</t>
  </si>
  <si>
    <t>Budgeted Unrest Contracts and Services</t>
  </si>
  <si>
    <t>Authorizer's Estimate of In-Lieu</t>
  </si>
  <si>
    <t>For SELPA services, is the Charter under School District, or a member LEA?</t>
  </si>
  <si>
    <t>RESERVES</t>
  </si>
  <si>
    <t>OVERVIEW</t>
  </si>
  <si>
    <t>In-Lieu Property Tax</t>
  </si>
  <si>
    <t>2. SPECIAL EDUCATION PROGRAM</t>
  </si>
  <si>
    <t>3. EXPENDITURES</t>
  </si>
  <si>
    <t>Unrestricted and Restricted</t>
  </si>
  <si>
    <t>CONTRACTS</t>
  </si>
  <si>
    <t>Classified</t>
  </si>
  <si>
    <t>Teacher</t>
  </si>
  <si>
    <t>Ave Salary /FTE</t>
  </si>
  <si>
    <t>Other Certificated</t>
  </si>
  <si>
    <t>Certificated Management</t>
  </si>
  <si>
    <t>Classified Non-Management</t>
  </si>
  <si>
    <t>No. of FTE</t>
  </si>
  <si>
    <t>Classified Management</t>
  </si>
  <si>
    <t>Budget</t>
  </si>
  <si>
    <t>Budgeted Benefits</t>
  </si>
  <si>
    <t>Attach letter to Charter School advising them of Positive status and giving pertinent feedback</t>
  </si>
  <si>
    <r>
      <t xml:space="preserve">Attach letter to Charter School advising them of significant concerns and required actions.  </t>
    </r>
    <r>
      <rPr>
        <i/>
        <sz val="12"/>
        <rFont val="Verdana"/>
        <family val="2"/>
      </rPr>
      <t>Identify concerns in boxes below.</t>
    </r>
  </si>
  <si>
    <t>2018-19</t>
  </si>
  <si>
    <t>2023-24</t>
  </si>
  <si>
    <t>Form Debt</t>
  </si>
  <si>
    <t>Audit Report</t>
  </si>
  <si>
    <t>If so, please list below</t>
  </si>
  <si>
    <t>Budgeted Debt Service Payments</t>
  </si>
  <si>
    <t xml:space="preserve">  Form Debt vs Budget Variance</t>
  </si>
  <si>
    <t xml:space="preserve">  Budgeted Debt Service vs Audit Report</t>
  </si>
  <si>
    <t>Technical Comments / Calls / Letters</t>
  </si>
  <si>
    <r>
      <rPr>
        <b/>
        <i/>
        <sz val="11"/>
        <color theme="8" tint="0.39997558519241921"/>
        <rFont val="Verdana"/>
        <family val="2"/>
      </rPr>
      <t>Complete Blue Sections ONLY</t>
    </r>
    <r>
      <rPr>
        <b/>
        <i/>
        <sz val="11"/>
        <color rgb="FFFFFF00"/>
        <rFont val="Verdana"/>
        <family val="2"/>
      </rPr>
      <t>, all others are filled by formula.</t>
    </r>
  </si>
  <si>
    <t>Variance $</t>
  </si>
  <si>
    <t>Variance %</t>
  </si>
  <si>
    <t>1. Does the Charter School carry Long Term Debt Obligations (Yes or No)?</t>
  </si>
  <si>
    <t>1. Revenues and Other Sources</t>
  </si>
  <si>
    <t>2. Expenditures and Other Uses</t>
  </si>
  <si>
    <r>
      <t xml:space="preserve">Comments:  </t>
    </r>
    <r>
      <rPr>
        <i/>
        <sz val="11"/>
        <rFont val="Verdana"/>
        <family val="2"/>
      </rPr>
      <t>Are all audit adjustments property recorded, does adjusted beginning fund balance for current year (restatements + audit adjustments + Unaudited Actual PY ending bal) match prior year audit report?  Any other issues?</t>
    </r>
  </si>
  <si>
    <r>
      <t xml:space="preserve">Comments:  </t>
    </r>
    <r>
      <rPr>
        <i/>
        <sz val="11"/>
        <rFont val="Verdana"/>
        <family val="2"/>
      </rPr>
      <t>Deficit spending, restatements, audit adjustments, and any other issues of significance or concern:</t>
    </r>
  </si>
  <si>
    <r>
      <t xml:space="preserve">Comments: </t>
    </r>
    <r>
      <rPr>
        <i/>
        <sz val="11"/>
        <rFont val="Verdana"/>
        <family val="2"/>
      </rPr>
      <t>Deficit spending (one-time or ongoing), restatements, audit adjustments, and any other issues of significance or concern:</t>
    </r>
  </si>
  <si>
    <r>
      <t xml:space="preserve">Comments: </t>
    </r>
    <r>
      <rPr>
        <i/>
        <sz val="11"/>
        <rFont val="Verdana"/>
        <family val="2"/>
      </rPr>
      <t>If ADA/Enrollment ration not meeting standards - Is charter new and still expanding?  Explainable growth outside trend?  Concerns?</t>
    </r>
  </si>
  <si>
    <r>
      <t>Comments: Are r</t>
    </r>
    <r>
      <rPr>
        <i/>
        <sz val="11"/>
        <rFont val="Verdana"/>
        <family val="2"/>
      </rPr>
      <t>eserves sufficient for current and 2 subsequent years?  Are there excess reserves, why?</t>
    </r>
  </si>
  <si>
    <t>Debt Service</t>
  </si>
  <si>
    <t>Dollars</t>
  </si>
  <si>
    <t>Unrestricted Expenditures Budgeted</t>
  </si>
  <si>
    <t>Percentages</t>
  </si>
  <si>
    <r>
      <rPr>
        <sz val="11"/>
        <rFont val="Verdana"/>
        <family val="2"/>
      </rPr>
      <t>Comments:</t>
    </r>
    <r>
      <rPr>
        <b/>
        <sz val="11"/>
        <rFont val="Verdana"/>
        <family val="2"/>
      </rPr>
      <t xml:space="preserve"> </t>
    </r>
    <r>
      <rPr>
        <i/>
        <sz val="11"/>
        <rFont val="Verdana"/>
        <family val="2"/>
      </rPr>
      <t>Are costs reasonable? Does Contracts Budget look reasonable?</t>
    </r>
  </si>
  <si>
    <t>Calls / Emails / Letters Sent:</t>
  </si>
  <si>
    <t>Instructions:</t>
  </si>
  <si>
    <t xml:space="preserve">1.  Open the charter's reporting workbook and go to the Data sheet for the period to be reviewed (ie Budget, 1st Interim, or 2nd Interim) </t>
  </si>
  <si>
    <t>2.  Select from cell A1..E148, copy</t>
  </si>
  <si>
    <t>3.  Go to the Data worksheet within this file and paste Values (not formulas).</t>
  </si>
  <si>
    <t>4.  Go to the Review worksheet within this file and data enter or select from drop down boxes in blue highlighted cells.</t>
  </si>
  <si>
    <t>https://www.sbcss.k12.ca.us/index.php/business-services/business-advisory-services/charter-schools-financial</t>
  </si>
  <si>
    <t>San Bernardino County Charter Budget &amp; Interim Review Template</t>
  </si>
  <si>
    <r>
      <t xml:space="preserve">To be used in conjunction with </t>
    </r>
    <r>
      <rPr>
        <b/>
        <sz val="10"/>
        <rFont val="Arial"/>
        <family val="2"/>
      </rPr>
      <t>San Bernardino County's Charter Budget and Interim Reporting Template</t>
    </r>
    <r>
      <rPr>
        <sz val="10"/>
        <rFont val="Arial"/>
        <family val="2"/>
      </rPr>
      <t xml:space="preserve"> found at:</t>
    </r>
  </si>
  <si>
    <t>This worksheet is populated largely with data from the Charter's Adopted and/or Interim Budget Workbook and formulas within this workbook.</t>
  </si>
  <si>
    <t>If you find what you believe to be formula errors or if you make improvements to the worksheet, please notify annette.baker@sbcss.net</t>
  </si>
  <si>
    <t>To protect accidental changes to formulas and conditional formating, this workbook is locked except for data entry cells.</t>
  </si>
  <si>
    <t>You may want/need to make changes to formulas or format.  To unlock a worksheet within the workbook, right click on the appropriate tab, select unprotect, and hit enter.  There is no password needed to unlock these worksheets.</t>
  </si>
  <si>
    <r>
      <t xml:space="preserve">Amount
</t>
    </r>
    <r>
      <rPr>
        <sz val="8"/>
        <rFont val="Verdana"/>
        <family val="2"/>
      </rPr>
      <t>(if decrease, enter as negative number)</t>
    </r>
  </si>
  <si>
    <t xml:space="preserve">Standard: ADA to Enrollment Ratio should be no more than 3 year historical average plus .5%. </t>
  </si>
  <si>
    <t>2021-22</t>
  </si>
  <si>
    <t>Other Pay, Stipends, Extra Pay</t>
  </si>
  <si>
    <t>Cert FTE * Ave $ + Other Pay, Stipends, Xtra Pay</t>
  </si>
  <si>
    <t>Class FTE * Ave $ + Other Pay, Stipends, Xtra Pay</t>
  </si>
  <si>
    <t>STRS Rate*Cert Sal</t>
  </si>
  <si>
    <t>If template has been modified mid fiscal year, changes are identified below:</t>
  </si>
  <si>
    <t>2024-25</t>
  </si>
  <si>
    <t>Unrestricted Deficit Spending Standard</t>
  </si>
  <si>
    <t>PERS Rate*Class Sal or Ret/EE*FTE</t>
  </si>
  <si>
    <t>Prior Year</t>
  </si>
  <si>
    <t>Cert Bud*Medi, UE, WC Rate</t>
  </si>
  <si>
    <t>Class Bud*FICA, Medi, UE, WC Rate</t>
  </si>
  <si>
    <t>Per ADA Impact to Budget</t>
  </si>
  <si>
    <r>
      <t xml:space="preserve">Comments: </t>
    </r>
    <r>
      <rPr>
        <i/>
        <sz val="11"/>
        <rFont val="Verdana"/>
        <family val="2"/>
      </rPr>
      <t>Does labor budget look reasonable?  Do FTE changes include all known personel inc/dec?  Are per EE cost reasonable based on step/col and any known sal inc/dec?</t>
    </r>
  </si>
  <si>
    <t>LABOR (continued)</t>
  </si>
  <si>
    <t>Benefit Ratios</t>
  </si>
  <si>
    <t>Total Salaries</t>
  </si>
  <si>
    <t>Total Benefits</t>
  </si>
  <si>
    <t>Benefits/Sal %</t>
  </si>
  <si>
    <t>Bene % deviates by more than 5% from Historical Ave</t>
  </si>
  <si>
    <t>Variance</t>
  </si>
  <si>
    <r>
      <t xml:space="preserve">Comments:  </t>
    </r>
    <r>
      <rPr>
        <i/>
        <sz val="11"/>
        <rFont val="Verdana"/>
        <family val="2"/>
      </rPr>
      <t>Has the charter school budgeted for special education reasonably in all years?</t>
    </r>
  </si>
  <si>
    <r>
      <t xml:space="preserve">Comments: </t>
    </r>
    <r>
      <rPr>
        <i/>
        <sz val="11"/>
        <rFont val="Verdana"/>
        <family val="2"/>
      </rPr>
      <t>Details of reduction plan, why?</t>
    </r>
  </si>
  <si>
    <r>
      <t xml:space="preserve">Comments:  </t>
    </r>
    <r>
      <rPr>
        <i/>
        <sz val="11"/>
        <rFont val="Verdana"/>
        <family val="2"/>
      </rPr>
      <t>Are differences between Est Benefit Costs calculated based on assumptions and Charter Budgeted Benefits explainable?</t>
    </r>
  </si>
  <si>
    <r>
      <t xml:space="preserve">Comments:  </t>
    </r>
    <r>
      <rPr>
        <i/>
        <sz val="11"/>
        <rFont val="Verdana"/>
        <family val="2"/>
      </rPr>
      <t>Does cash flow contain errors that materially effect ending cash balances?  Are cash balances sufficient in all months?</t>
    </r>
  </si>
  <si>
    <t>5. Total Reserve for Economic Uncertainties &amp; Undesignated/Unappropriated (9789, 9790)</t>
  </si>
  <si>
    <t>10/12/2022 Modified cells E152, G152, and I152 to reference current year rather than prior year on the Data tab</t>
  </si>
  <si>
    <t>Facility and Admin Services Agreement Assumptions vs Contract and Services Budget</t>
  </si>
  <si>
    <t>10/7/2022 Modified label and changed formula in E153 to reference current year rather than prior year on the Data tab</t>
  </si>
  <si>
    <t>11/3/2022 Corrected formulas in cells E47-52 and H47-52</t>
  </si>
  <si>
    <t>Rev 11/3/2022</t>
  </si>
  <si>
    <r>
      <t xml:space="preserve">Comments: </t>
    </r>
    <r>
      <rPr>
        <i/>
        <sz val="11"/>
        <rFont val="Verdana"/>
        <family val="2"/>
      </rPr>
      <t>Are deviations from historical average or trend explainable?</t>
    </r>
  </si>
  <si>
    <t>Granite Mountain Charter School</t>
  </si>
  <si>
    <t>First Interim</t>
  </si>
  <si>
    <t>2022-23</t>
  </si>
  <si>
    <t>Lucerne Valley</t>
  </si>
  <si>
    <t>PY</t>
  </si>
  <si>
    <t>CY</t>
  </si>
  <si>
    <t>SY1</t>
  </si>
  <si>
    <t>SY2</t>
  </si>
  <si>
    <t>Unduplicated Count</t>
  </si>
  <si>
    <t>UPP (Rolling)</t>
  </si>
  <si>
    <t>LCFF</t>
  </si>
  <si>
    <t>Teacher FTE</t>
  </si>
  <si>
    <t>Other Cert FTE</t>
  </si>
  <si>
    <t>Cert Mgt FTE</t>
  </si>
  <si>
    <t>Class FTE</t>
  </si>
  <si>
    <t>Class MGMT FTE</t>
  </si>
  <si>
    <t xml:space="preserve">Teacher Ave salary Per FTE </t>
  </si>
  <si>
    <t>Other Cert Staff salary Per FTE</t>
  </si>
  <si>
    <t>Cert Mgt salary Per FTE</t>
  </si>
  <si>
    <t>Cert Other Pay, Stipends, Extra Pay</t>
  </si>
  <si>
    <t>Class Ave salary Per FTE</t>
  </si>
  <si>
    <t>Class Mgmt Ave salary Per FTE</t>
  </si>
  <si>
    <t>Class Other Pay, Stipends, Extra Pay</t>
  </si>
  <si>
    <t>Class H&amp;W/EE</t>
  </si>
  <si>
    <t>Cert H&amp;W/EE</t>
  </si>
  <si>
    <t>STRS Rate</t>
  </si>
  <si>
    <t>PERS Rate</t>
  </si>
  <si>
    <t>Retirement Cost per Cert Employee</t>
  </si>
  <si>
    <t>Retirement Cost per Class Employee</t>
  </si>
  <si>
    <t>FICA</t>
  </si>
  <si>
    <t>Medi</t>
  </si>
  <si>
    <t>Unemployment</t>
  </si>
  <si>
    <t>Workers Comp</t>
  </si>
  <si>
    <t>Unrestricted FUND BALANCE</t>
  </si>
  <si>
    <t>Beginning Balance at Adopted Budget 9791</t>
  </si>
  <si>
    <t>Adjustments for Unaudited Actuals 9791</t>
  </si>
  <si>
    <t xml:space="preserve">  Beg Fund Balance at Unaudited Actuals</t>
  </si>
  <si>
    <t>Adjustments for Audit 9793</t>
  </si>
  <si>
    <t>Adjustments for Restatements 9795</t>
  </si>
  <si>
    <t xml:space="preserve">  Beginning Fund Balance as per Audit Report +/- Restatements</t>
  </si>
  <si>
    <t>Ending Balance 9790</t>
  </si>
  <si>
    <t>Revolving Cash 9711</t>
  </si>
  <si>
    <t>Stores 9711</t>
  </si>
  <si>
    <t>Prepaid Expenditures 9713</t>
  </si>
  <si>
    <t>All Others 9719</t>
  </si>
  <si>
    <t>Committed - Stabilization Arrangements 9750</t>
  </si>
  <si>
    <t>Committed - Other 9760</t>
  </si>
  <si>
    <t>Assignments 9780</t>
  </si>
  <si>
    <t>Reserve for Ecomonic Uncertainties 9789</t>
  </si>
  <si>
    <t>Undesignated/Unappropriated Amount/Unrestricted Net Position 9790</t>
  </si>
  <si>
    <t>Restricted FUND BALANCE</t>
  </si>
  <si>
    <t>LCFF 8011</t>
  </si>
  <si>
    <t>EPA 8011</t>
  </si>
  <si>
    <t>State Aid - Prior Year 8019</t>
  </si>
  <si>
    <t>In Lieu Property Taxes 8096</t>
  </si>
  <si>
    <t>Reserve Standard (unless different standard identified in MOU)</t>
  </si>
  <si>
    <t>If MOU contains a Reserve Standard other than above</t>
  </si>
  <si>
    <t/>
  </si>
  <si>
    <t>Available Fund Balance %</t>
  </si>
  <si>
    <t>Deficit Spending Standard</t>
  </si>
  <si>
    <t>Deficit Spending %</t>
  </si>
  <si>
    <t>Unrestricted Total Rev and Funding Sources</t>
  </si>
  <si>
    <t>Unrestricted Total Exp and Other Uses</t>
  </si>
  <si>
    <t>Restricted Total Rev and Funding Sources</t>
  </si>
  <si>
    <t>Restricted Total Exp and Other Uses</t>
  </si>
  <si>
    <t>What % of student population is Special Ed</t>
  </si>
  <si>
    <t>Charter under School District, or a member LEA for SELPA services?</t>
  </si>
  <si>
    <t>Yes, they are in LACOE SELPA</t>
  </si>
  <si>
    <t>Other Special Ed Revenue</t>
  </si>
  <si>
    <t>Unrestricted contribution to Special Ed</t>
  </si>
  <si>
    <t>Total Special Ed Funding</t>
  </si>
  <si>
    <t>Special Ed Expenditures</t>
  </si>
  <si>
    <t>Unrestricted Exp</t>
  </si>
  <si>
    <t>Debt Service (see Debt Form)</t>
  </si>
  <si>
    <t>Restricted Exp</t>
  </si>
  <si>
    <t>Rent</t>
  </si>
  <si>
    <t>Electricity</t>
  </si>
  <si>
    <t>Heating (gas)</t>
  </si>
  <si>
    <t>Other</t>
  </si>
  <si>
    <t>Oversight Fees to Sponsor</t>
  </si>
  <si>
    <t>Administive Service Contract</t>
  </si>
  <si>
    <t>Other Contracted costs</t>
  </si>
  <si>
    <t>Debt</t>
  </si>
  <si>
    <t>State School Building Loans</t>
  </si>
  <si>
    <t>Charter School Start-up Loans</t>
  </si>
  <si>
    <t>Other Post Employment Benefits</t>
  </si>
  <si>
    <t>Compensated Absences</t>
  </si>
  <si>
    <t>Bank Line of Credit Loans</t>
  </si>
  <si>
    <t>Municipal Lease</t>
  </si>
  <si>
    <t>Capital Lease</t>
  </si>
  <si>
    <t>Inter-Agency Borrowing</t>
  </si>
  <si>
    <t>Cash Flow</t>
  </si>
  <si>
    <t>Aaron Guibord</t>
  </si>
  <si>
    <t>CSMC - Consultant</t>
  </si>
  <si>
    <t>805-390-1813</t>
  </si>
  <si>
    <t>aguibord@csmci.com</t>
  </si>
  <si>
    <t>Charter did not exist prior to 20-21 fiscal year.</t>
  </si>
  <si>
    <t>N/A</t>
  </si>
  <si>
    <t>no</t>
  </si>
  <si>
    <t>No reductions have been planned.</t>
  </si>
  <si>
    <t>Variance on certificated is equal to projected stipend payouts. We believe our costs are reasonable as GMCS goes through cost associated with each employee to ensure that we are adopted figures that represent the most accurate of our knowledge. We beleive our estimates to be conservative in nature.</t>
  </si>
  <si>
    <t>We are extremely conservative in our budget projections regarding salaries. So, it would not surprise us if year-end benefits expenses is less than projected as a result.</t>
  </si>
  <si>
    <t>We are currently in the FY22-23, and the audit will not begin until the year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</si>
</sst>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_(&quot;$&quot;* #,##0_);_(&quot;$&quot;* \(#,##0\);_(&quot;$&quot;* &quot;-&quot;??_);_(@_)"/>
    <numFmt numFmtId="168" formatCode="0.00_);[Red]\(0.00\)"/>
    <numFmt numFmtId="169" formatCode="m/d;@"/>
    <numFmt numFmtId="170" formatCode="0.00000%"/>
  </numFmts>
  <fonts count="49" x14ac:knownFonts="1">
    <font>
      <sz val="10"/>
      <name val="Arial"/>
    </font>
    <font>
      <sz val="10"/>
      <name val="Arial"/>
      <family val="2"/>
    </font>
    <font>
      <sz val="14"/>
      <name val="Wingdings"/>
      <charset val="2"/>
    </font>
    <font>
      <b/>
      <sz val="14"/>
      <name val="Verdana"/>
      <family val="2"/>
    </font>
    <font>
      <sz val="12"/>
      <name val="Verdana"/>
      <family val="2"/>
    </font>
    <font>
      <sz val="9"/>
      <name val="Verdana"/>
      <family val="2"/>
    </font>
    <font>
      <sz val="14"/>
      <name val="Verdana"/>
      <family val="2"/>
    </font>
    <font>
      <sz val="16"/>
      <name val="Verdana"/>
      <family val="2"/>
    </font>
    <font>
      <sz val="10"/>
      <name val="Verdana"/>
      <family val="2"/>
    </font>
    <font>
      <sz val="9"/>
      <color indexed="10"/>
      <name val="Verdana"/>
      <family val="2"/>
    </font>
    <font>
      <b/>
      <sz val="12"/>
      <name val="Verdana"/>
      <family val="2"/>
    </font>
    <font>
      <b/>
      <sz val="12"/>
      <color indexed="10"/>
      <name val="Verdana"/>
      <family val="2"/>
    </font>
    <font>
      <b/>
      <i/>
      <sz val="12"/>
      <name val="Verdana"/>
      <family val="2"/>
    </font>
    <font>
      <i/>
      <sz val="12"/>
      <name val="Verdana"/>
      <family val="2"/>
    </font>
    <font>
      <i/>
      <sz val="10"/>
      <name val="Verdana"/>
      <family val="2"/>
    </font>
    <font>
      <i/>
      <sz val="9"/>
      <name val="Verdana"/>
      <family val="2"/>
    </font>
    <font>
      <b/>
      <i/>
      <sz val="9"/>
      <name val="Verdana"/>
      <family val="2"/>
    </font>
    <font>
      <b/>
      <sz val="10"/>
      <name val="Verdana"/>
      <family val="2"/>
    </font>
    <font>
      <sz val="11"/>
      <name val="Verdana"/>
      <family val="2"/>
    </font>
    <font>
      <i/>
      <sz val="11"/>
      <name val="Verdana"/>
      <family val="2"/>
    </font>
    <font>
      <b/>
      <sz val="11"/>
      <name val="Verdana"/>
      <family val="2"/>
    </font>
    <font>
      <b/>
      <u/>
      <sz val="14"/>
      <name val="Verdana"/>
      <family val="2"/>
    </font>
    <font>
      <b/>
      <i/>
      <sz val="11"/>
      <name val="Verdana"/>
      <family val="2"/>
    </font>
    <font>
      <b/>
      <sz val="11"/>
      <color indexed="10"/>
      <name val="Verdana"/>
      <family val="2"/>
    </font>
    <font>
      <b/>
      <i/>
      <sz val="10"/>
      <name val="Verdana"/>
      <family val="2"/>
    </font>
    <font>
      <b/>
      <sz val="9"/>
      <name val="Verdana"/>
      <family val="2"/>
    </font>
    <font>
      <b/>
      <sz val="12"/>
      <color rgb="FFFF0000"/>
      <name val="Verdana"/>
      <family val="2"/>
    </font>
    <font>
      <b/>
      <i/>
      <sz val="11"/>
      <color rgb="FFFFFF00"/>
      <name val="Verdana"/>
      <family val="2"/>
    </font>
    <font>
      <sz val="12"/>
      <color rgb="FFFFFF00"/>
      <name val="Verdana"/>
      <family val="2"/>
    </font>
    <font>
      <b/>
      <i/>
      <sz val="9"/>
      <color rgb="FFFFFF00"/>
      <name val="Verdana"/>
      <family val="2"/>
    </font>
    <font>
      <sz val="9"/>
      <color rgb="FFFFFF00"/>
      <name val="Verdana"/>
      <family val="2"/>
    </font>
    <font>
      <b/>
      <i/>
      <sz val="11"/>
      <color theme="8" tint="0.39997558519241921"/>
      <name val="Verdana"/>
      <family val="2"/>
    </font>
    <font>
      <u/>
      <sz val="10"/>
      <color theme="10"/>
      <name val="Arial"/>
      <family val="2"/>
    </font>
    <font>
      <sz val="9"/>
      <color indexed="81"/>
      <name val="Tahoma"/>
      <family val="2"/>
    </font>
    <font>
      <b/>
      <sz val="9"/>
      <color indexed="81"/>
      <name val="Tahoma"/>
      <family val="2"/>
    </font>
    <font>
      <sz val="11"/>
      <name val="Times New Roman"/>
      <family val="1"/>
    </font>
    <font>
      <b/>
      <sz val="10"/>
      <name val="Arial"/>
      <family val="2"/>
    </font>
    <font>
      <sz val="8"/>
      <name val="Arial"/>
      <family val="2"/>
    </font>
    <font>
      <sz val="10"/>
      <color theme="0" tint="-0.34998626667073579"/>
      <name val="Arial"/>
      <family val="2"/>
    </font>
    <font>
      <b/>
      <u/>
      <sz val="10"/>
      <name val="Arial"/>
      <family val="2"/>
    </font>
    <font>
      <sz val="8"/>
      <name val="Verdana"/>
      <family val="2"/>
    </font>
    <font>
      <b/>
      <sz val="10"/>
      <color rgb="FF00B050"/>
      <name val="Arial"/>
      <family val="2"/>
    </font>
    <font>
      <b/>
      <sz val="8"/>
      <color rgb="FF00B050"/>
      <name val="Arial"/>
      <family val="2"/>
    </font>
    <font>
      <b/>
      <sz val="8"/>
      <color rgb="FF00B050"/>
      <name val="Verdana"/>
      <family val="2"/>
    </font>
    <font>
      <b/>
      <sz val="10"/>
      <name val="Arial Narrow"/>
      <family val="2"/>
    </font>
    <font>
      <sz val="10"/>
      <name val="Arial Narrow"/>
      <family val="2"/>
    </font>
    <font>
      <sz val="10"/>
      <color indexed="8"/>
      <name val="Arial Narrow"/>
      <family val="2"/>
    </font>
    <font>
      <b/>
      <sz val="11"/>
      <color rgb="FFFF0000"/>
      <name val="Verdana"/>
      <family val="2"/>
    </font>
    <font>
      <sz val="10"/>
      <color rgb="FF00B050"/>
      <name val="Arial"/>
      <family val="2"/>
    </font>
  </fonts>
  <fills count="15">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rgb="FF92D050"/>
        <bgColor indexed="64"/>
      </patternFill>
    </fill>
    <fill>
      <patternFill patternType="solid">
        <fgColor theme="0" tint="-0.499984740745262"/>
        <bgColor indexed="64"/>
      </patternFill>
    </fill>
    <fill>
      <patternFill patternType="solid">
        <fgColor rgb="FFC5FFFF"/>
        <bgColor indexed="64"/>
      </patternFill>
    </fill>
    <fill>
      <patternFill patternType="solid">
        <fgColor rgb="FFB7FFFF"/>
        <bgColor indexed="64"/>
      </patternFill>
    </fill>
    <fill>
      <patternFill patternType="solid">
        <fgColor rgb="FFCCFFFF"/>
        <bgColor indexed="64"/>
      </patternFill>
    </fill>
    <fill>
      <patternFill patternType="solid">
        <fgColor rgb="FFBDFFFF"/>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rgb="FFFFFF99"/>
        <bgColor indexed="64"/>
      </patternFill>
    </fill>
    <fill>
      <patternFill patternType="solid">
        <fgColor theme="0" tint="-0.249977111117893"/>
        <bgColor indexed="64"/>
      </patternFill>
    </fill>
    <fill>
      <patternFill patternType="solid">
        <fgColor rgb="FF80808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medium">
        <color indexed="64"/>
      </bottom>
      <diagonal/>
    </border>
    <border>
      <left/>
      <right/>
      <top style="medium">
        <color indexed="64"/>
      </top>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double">
        <color indexed="64"/>
      </bottom>
      <diagonal/>
    </border>
    <border>
      <left style="double">
        <color indexed="64"/>
      </left>
      <right style="double">
        <color indexed="64"/>
      </right>
      <top/>
      <bottom style="double">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cellStyleXfs>
  <cellXfs count="603">
    <xf numFmtId="0" fontId="0" fillId="0" borderId="0" xfId="0"/>
    <xf numFmtId="0" fontId="4" fillId="0" borderId="0" xfId="0" applyFont="1"/>
    <xf numFmtId="0" fontId="6" fillId="0" borderId="0" xfId="0" applyFont="1"/>
    <xf numFmtId="0" fontId="4" fillId="0" borderId="0" xfId="0" applyFont="1" applyAlignment="1">
      <alignment horizontal="center"/>
    </xf>
    <xf numFmtId="0" fontId="8" fillId="0" borderId="0" xfId="0" applyFont="1"/>
    <xf numFmtId="0" fontId="5" fillId="0" borderId="0" xfId="0" applyFont="1"/>
    <xf numFmtId="0" fontId="13" fillId="0" borderId="0" xfId="0" applyFont="1"/>
    <xf numFmtId="0" fontId="12" fillId="0" borderId="0" xfId="0" applyFont="1"/>
    <xf numFmtId="0" fontId="5" fillId="0" borderId="0" xfId="0" applyFont="1" applyAlignment="1">
      <alignment horizontal="center"/>
    </xf>
    <xf numFmtId="0" fontId="10" fillId="0" borderId="0" xfId="0" applyFont="1"/>
    <xf numFmtId="0" fontId="8" fillId="0" borderId="0" xfId="0" applyFont="1" applyAlignment="1">
      <alignment horizontal="center"/>
    </xf>
    <xf numFmtId="0" fontId="18" fillId="0" borderId="0" xfId="0" applyFont="1"/>
    <xf numFmtId="10" fontId="8" fillId="0" borderId="0" xfId="0" applyNumberFormat="1" applyFont="1" applyAlignment="1">
      <alignment horizontal="right"/>
    </xf>
    <xf numFmtId="0" fontId="8" fillId="0" borderId="0" xfId="0" quotePrefix="1" applyFont="1" applyAlignment="1">
      <alignment horizontal="left"/>
    </xf>
    <xf numFmtId="0" fontId="4" fillId="0" borderId="0" xfId="0" quotePrefix="1" applyFont="1" applyAlignment="1">
      <alignment horizontal="left"/>
    </xf>
    <xf numFmtId="0" fontId="10" fillId="0" borderId="0" xfId="0" quotePrefix="1" applyFont="1" applyAlignment="1">
      <alignment horizontal="left"/>
    </xf>
    <xf numFmtId="37" fontId="4" fillId="0" borderId="0" xfId="0" applyNumberFormat="1" applyFont="1"/>
    <xf numFmtId="0" fontId="20" fillId="0" borderId="0" xfId="0" applyFont="1" applyAlignment="1">
      <alignment horizontal="left"/>
    </xf>
    <xf numFmtId="0" fontId="10" fillId="0" borderId="0" xfId="0" applyFont="1" applyAlignment="1">
      <alignment horizontal="left"/>
    </xf>
    <xf numFmtId="0" fontId="14" fillId="0" borderId="0" xfId="0" applyFont="1"/>
    <xf numFmtId="0" fontId="20" fillId="0" borderId="0" xfId="0" applyFont="1"/>
    <xf numFmtId="0" fontId="5" fillId="0" borderId="0" xfId="0" applyFont="1" applyAlignment="1" applyProtection="1">
      <alignment horizontal="center"/>
      <protection locked="0"/>
    </xf>
    <xf numFmtId="0" fontId="20" fillId="0" borderId="0" xfId="0" quotePrefix="1" applyFont="1" applyAlignment="1">
      <alignment horizontal="center"/>
    </xf>
    <xf numFmtId="0" fontId="18" fillId="0" borderId="0" xfId="0" applyFont="1" applyAlignment="1">
      <alignment horizontal="center"/>
    </xf>
    <xf numFmtId="10" fontId="18" fillId="0" borderId="1" xfId="3" applyNumberFormat="1" applyFont="1" applyBorder="1" applyAlignment="1">
      <alignment horizontal="center"/>
    </xf>
    <xf numFmtId="0" fontId="18" fillId="0" borderId="0" xfId="0" applyFont="1" applyAlignment="1">
      <alignment horizontal="left"/>
    </xf>
    <xf numFmtId="0" fontId="18" fillId="0" borderId="0" xfId="0" quotePrefix="1" applyFont="1" applyAlignment="1">
      <alignment horizontal="left"/>
    </xf>
    <xf numFmtId="0" fontId="20" fillId="0" borderId="0" xfId="0" applyFont="1" applyAlignment="1">
      <alignment horizontal="center"/>
    </xf>
    <xf numFmtId="0" fontId="20" fillId="0" borderId="0" xfId="0" applyFont="1" applyAlignment="1">
      <alignment horizontal="centerContinuous"/>
    </xf>
    <xf numFmtId="0" fontId="5" fillId="0" borderId="0" xfId="0" applyFont="1" applyProtection="1">
      <protection locked="0"/>
    </xf>
    <xf numFmtId="0" fontId="16" fillId="0" borderId="0" xfId="0" applyFont="1"/>
    <xf numFmtId="4" fontId="18" fillId="0" borderId="0" xfId="0" applyNumberFormat="1" applyFont="1" applyAlignment="1">
      <alignment horizontal="right"/>
    </xf>
    <xf numFmtId="0" fontId="26" fillId="0" borderId="0" xfId="0" applyFont="1"/>
    <xf numFmtId="0" fontId="5" fillId="9" borderId="1" xfId="0" applyFont="1" applyFill="1" applyBorder="1" applyAlignment="1" applyProtection="1">
      <alignment horizontal="center"/>
      <protection locked="0"/>
    </xf>
    <xf numFmtId="0" fontId="20" fillId="2" borderId="1" xfId="0" quotePrefix="1" applyFont="1" applyFill="1" applyBorder="1" applyAlignment="1" applyProtection="1">
      <alignment horizontal="center"/>
      <protection locked="0"/>
    </xf>
    <xf numFmtId="0" fontId="4" fillId="0" borderId="0" xfId="0" applyFont="1" applyAlignment="1">
      <alignment horizontal="right"/>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44" fontId="18" fillId="2" borderId="25" xfId="2" applyFont="1" applyFill="1" applyBorder="1" applyAlignment="1" applyProtection="1">
      <alignment horizontal="center"/>
      <protection locked="0"/>
    </xf>
    <xf numFmtId="9" fontId="18" fillId="2" borderId="29" xfId="3" applyFont="1" applyFill="1" applyBorder="1" applyAlignment="1" applyProtection="1">
      <alignment horizontal="center"/>
      <protection locked="0"/>
    </xf>
    <xf numFmtId="44" fontId="18" fillId="2" borderId="27" xfId="2" applyFont="1" applyFill="1" applyBorder="1" applyAlignment="1" applyProtection="1">
      <alignment horizontal="center"/>
      <protection locked="0"/>
    </xf>
    <xf numFmtId="9" fontId="18" fillId="2" borderId="28" xfId="3" applyFont="1" applyFill="1" applyBorder="1" applyAlignment="1" applyProtection="1">
      <alignment horizontal="center"/>
      <protection locked="0"/>
    </xf>
    <xf numFmtId="0" fontId="20" fillId="0" borderId="32" xfId="0" applyFont="1" applyBorder="1" applyAlignment="1">
      <alignment horizontal="center" wrapText="1"/>
    </xf>
    <xf numFmtId="0" fontId="23" fillId="2" borderId="33" xfId="0" applyFont="1" applyFill="1" applyBorder="1" applyAlignment="1" applyProtection="1">
      <alignment horizontal="center" vertical="center"/>
      <protection locked="0"/>
    </xf>
    <xf numFmtId="0" fontId="23" fillId="2" borderId="34" xfId="0" applyFont="1" applyFill="1" applyBorder="1" applyAlignment="1" applyProtection="1">
      <alignment horizontal="center" vertical="center"/>
      <protection locked="0"/>
    </xf>
    <xf numFmtId="0" fontId="23" fillId="2" borderId="35" xfId="0" applyFont="1" applyFill="1" applyBorder="1" applyAlignment="1" applyProtection="1">
      <alignment horizontal="center" vertical="center"/>
      <protection locked="0"/>
    </xf>
    <xf numFmtId="0" fontId="17" fillId="0" borderId="0" xfId="0" applyFont="1"/>
    <xf numFmtId="0" fontId="20" fillId="2" borderId="16" xfId="0" quotePrefix="1" applyFont="1" applyFill="1" applyBorder="1" applyAlignment="1" applyProtection="1">
      <alignment horizontal="center" vertical="center"/>
      <protection locked="0"/>
    </xf>
    <xf numFmtId="0" fontId="4" fillId="0" borderId="0" xfId="0" applyFont="1" applyAlignment="1">
      <alignment horizontal="center" wrapText="1"/>
    </xf>
    <xf numFmtId="0" fontId="10" fillId="10" borderId="12" xfId="0" applyFont="1" applyFill="1" applyBorder="1" applyAlignment="1">
      <alignment vertical="center"/>
    </xf>
    <xf numFmtId="0" fontId="4" fillId="10" borderId="12" xfId="0" applyFont="1" applyFill="1" applyBorder="1" applyAlignment="1">
      <alignment vertical="center"/>
    </xf>
    <xf numFmtId="0" fontId="8" fillId="10" borderId="12" xfId="0" applyFont="1" applyFill="1" applyBorder="1" applyAlignment="1">
      <alignment vertical="center"/>
    </xf>
    <xf numFmtId="0" fontId="8" fillId="10" borderId="12" xfId="0" applyFont="1" applyFill="1" applyBorder="1" applyAlignment="1">
      <alignment horizontal="center" vertical="center"/>
    </xf>
    <xf numFmtId="0" fontId="4" fillId="0" borderId="0" xfId="0" applyFont="1" applyAlignment="1">
      <alignment vertical="center"/>
    </xf>
    <xf numFmtId="0" fontId="27" fillId="11" borderId="0" xfId="0" applyFont="1" applyFill="1" applyAlignment="1">
      <alignment horizontal="left" vertical="center"/>
    </xf>
    <xf numFmtId="0" fontId="28" fillId="11" borderId="0" xfId="0" applyFont="1" applyFill="1" applyAlignment="1">
      <alignment horizontal="center" vertical="center"/>
    </xf>
    <xf numFmtId="0" fontId="29" fillId="11" borderId="0" xfId="0" applyFont="1" applyFill="1" applyAlignment="1">
      <alignment horizontal="center" vertical="center"/>
    </xf>
    <xf numFmtId="0" fontId="30" fillId="11" borderId="0" xfId="0" applyFont="1" applyFill="1" applyAlignment="1">
      <alignment horizontal="center" vertical="center"/>
    </xf>
    <xf numFmtId="40" fontId="0" fillId="0" borderId="0" xfId="0" applyNumberFormat="1"/>
    <xf numFmtId="0" fontId="10" fillId="0" borderId="0" xfId="0" applyFont="1" applyAlignment="1">
      <alignment vertical="center"/>
    </xf>
    <xf numFmtId="0" fontId="18" fillId="0" borderId="0" xfId="0" applyFont="1" applyAlignment="1">
      <alignment horizontal="centerContinuous"/>
    </xf>
    <xf numFmtId="10" fontId="20" fillId="0" borderId="0" xfId="3" applyNumberFormat="1" applyFont="1" applyFill="1" applyBorder="1" applyAlignment="1">
      <alignment horizontal="center"/>
    </xf>
    <xf numFmtId="10" fontId="18" fillId="0" borderId="1" xfId="3" applyNumberFormat="1" applyFont="1" applyFill="1" applyBorder="1" applyAlignment="1">
      <alignment horizontal="center"/>
    </xf>
    <xf numFmtId="10" fontId="18" fillId="0" borderId="1" xfId="0" applyNumberFormat="1" applyFont="1" applyBorder="1" applyAlignment="1">
      <alignment horizontal="center"/>
    </xf>
    <xf numFmtId="0" fontId="18" fillId="0" borderId="9" xfId="0" applyFont="1" applyBorder="1"/>
    <xf numFmtId="10" fontId="18" fillId="0" borderId="9" xfId="0" applyNumberFormat="1" applyFont="1" applyBorder="1" applyAlignment="1">
      <alignment horizontal="right"/>
    </xf>
    <xf numFmtId="0" fontId="18" fillId="0" borderId="9" xfId="0" applyFont="1" applyBorder="1" applyAlignment="1">
      <alignment horizontal="center"/>
    </xf>
    <xf numFmtId="0" fontId="19" fillId="0" borderId="9" xfId="0" applyFont="1" applyBorder="1" applyAlignment="1">
      <alignment horizontal="center"/>
    </xf>
    <xf numFmtId="0" fontId="18" fillId="0" borderId="4" xfId="0" applyFont="1" applyBorder="1"/>
    <xf numFmtId="0" fontId="18" fillId="0" borderId="5" xfId="0" applyFont="1" applyBorder="1" applyAlignment="1">
      <alignment horizontal="center"/>
    </xf>
    <xf numFmtId="0" fontId="22" fillId="0" borderId="0" xfId="0" applyFont="1" applyAlignment="1">
      <alignment horizontal="centerContinuous"/>
    </xf>
    <xf numFmtId="0" fontId="20" fillId="0" borderId="0" xfId="0" applyFont="1" applyAlignment="1">
      <alignment horizontal="centerContinuous" wrapText="1"/>
    </xf>
    <xf numFmtId="10" fontId="20" fillId="0" borderId="0" xfId="0" applyNumberFormat="1" applyFont="1" applyAlignment="1">
      <alignment horizontal="center"/>
    </xf>
    <xf numFmtId="0" fontId="20" fillId="0" borderId="6" xfId="0" applyFont="1" applyBorder="1" applyAlignment="1">
      <alignment horizontal="center"/>
    </xf>
    <xf numFmtId="0" fontId="20" fillId="0" borderId="8" xfId="0" applyFont="1" applyBorder="1" applyAlignment="1">
      <alignment horizontal="left"/>
    </xf>
    <xf numFmtId="0" fontId="18" fillId="0" borderId="13" xfId="0" applyFont="1" applyBorder="1" applyAlignment="1">
      <alignment horizontal="center"/>
    </xf>
    <xf numFmtId="0" fontId="20" fillId="0" borderId="2" xfId="0" applyFont="1" applyBorder="1" applyAlignment="1">
      <alignment horizontal="center" vertical="center" wrapText="1"/>
    </xf>
    <xf numFmtId="0" fontId="17" fillId="0" borderId="2" xfId="0" applyFont="1" applyBorder="1" applyAlignment="1">
      <alignment horizontal="center" vertical="center" wrapText="1"/>
    </xf>
    <xf numFmtId="10" fontId="5" fillId="0" borderId="0" xfId="3" applyNumberFormat="1" applyFont="1" applyFill="1" applyBorder="1" applyAlignment="1">
      <alignment horizontal="center"/>
    </xf>
    <xf numFmtId="0" fontId="20" fillId="0" borderId="13" xfId="0" applyFont="1" applyBorder="1" applyAlignment="1">
      <alignment horizontal="center"/>
    </xf>
    <xf numFmtId="0" fontId="20" fillId="0" borderId="1" xfId="0" applyFont="1" applyBorder="1" applyAlignment="1">
      <alignment horizontal="center"/>
    </xf>
    <xf numFmtId="10" fontId="18" fillId="5" borderId="1" xfId="3" applyNumberFormat="1" applyFont="1" applyFill="1" applyBorder="1" applyAlignment="1">
      <alignment horizontal="center"/>
    </xf>
    <xf numFmtId="38" fontId="19" fillId="5" borderId="1" xfId="0" applyNumberFormat="1" applyFont="1" applyFill="1" applyBorder="1" applyAlignment="1">
      <alignment horizontal="center"/>
    </xf>
    <xf numFmtId="0" fontId="35" fillId="0" borderId="0" xfId="0" applyFont="1"/>
    <xf numFmtId="0" fontId="22" fillId="0" borderId="0" xfId="0" applyFont="1" applyAlignment="1">
      <alignment wrapText="1"/>
    </xf>
    <xf numFmtId="0" fontId="1" fillId="0" borderId="0" xfId="0" applyFont="1"/>
    <xf numFmtId="37" fontId="0" fillId="0" borderId="0" xfId="0" applyNumberFormat="1"/>
    <xf numFmtId="0" fontId="36" fillId="0" borderId="0" xfId="0" applyFont="1"/>
    <xf numFmtId="0" fontId="17" fillId="0" borderId="4" xfId="0" applyFont="1" applyBorder="1" applyAlignment="1">
      <alignment horizontal="center"/>
    </xf>
    <xf numFmtId="10" fontId="5" fillId="5" borderId="13" xfId="0" applyNumberFormat="1" applyFont="1" applyFill="1" applyBorder="1" applyAlignment="1">
      <alignment horizontal="center"/>
    </xf>
    <xf numFmtId="10" fontId="5" fillId="5" borderId="44" xfId="0" applyNumberFormat="1" applyFont="1" applyFill="1" applyBorder="1" applyAlignment="1">
      <alignment horizontal="center"/>
    </xf>
    <xf numFmtId="3" fontId="18" fillId="0" borderId="0" xfId="0" applyNumberFormat="1" applyFont="1" applyAlignment="1">
      <alignment horizontal="right" indent="2"/>
    </xf>
    <xf numFmtId="10" fontId="18" fillId="0" borderId="14" xfId="3" applyNumberFormat="1" applyFont="1" applyFill="1" applyBorder="1" applyAlignment="1">
      <alignment horizontal="center"/>
    </xf>
    <xf numFmtId="0" fontId="19" fillId="0" borderId="0" xfId="0" applyFont="1" applyAlignment="1">
      <alignment horizontal="center"/>
    </xf>
    <xf numFmtId="0" fontId="24" fillId="0" borderId="0" xfId="0" applyFont="1" applyAlignment="1">
      <alignment vertical="top" wrapText="1"/>
    </xf>
    <xf numFmtId="167" fontId="18" fillId="8" borderId="1" xfId="0" applyNumberFormat="1" applyFont="1" applyFill="1" applyBorder="1" applyAlignment="1" applyProtection="1">
      <alignment horizontal="center"/>
      <protection locked="0"/>
    </xf>
    <xf numFmtId="0" fontId="17" fillId="0" borderId="6" xfId="0" applyFont="1" applyBorder="1" applyAlignment="1">
      <alignment horizontal="center"/>
    </xf>
    <xf numFmtId="0" fontId="8" fillId="0" borderId="0" xfId="0" applyFont="1" applyAlignment="1">
      <alignment vertical="center"/>
    </xf>
    <xf numFmtId="0" fontId="8" fillId="0" borderId="0" xfId="0" applyFont="1" applyAlignment="1">
      <alignment horizontal="center" vertical="center"/>
    </xf>
    <xf numFmtId="168" fontId="20" fillId="2" borderId="1" xfId="0" quotePrefix="1" applyNumberFormat="1" applyFont="1" applyFill="1" applyBorder="1" applyAlignment="1" applyProtection="1">
      <alignment horizontal="center"/>
      <protection locked="0"/>
    </xf>
    <xf numFmtId="0" fontId="4" fillId="0" borderId="9" xfId="0" applyFont="1" applyBorder="1" applyAlignment="1">
      <alignment vertical="center"/>
    </xf>
    <xf numFmtId="0" fontId="8" fillId="0" borderId="9" xfId="0" applyFont="1" applyBorder="1" applyAlignment="1">
      <alignment vertical="center"/>
    </xf>
    <xf numFmtId="0" fontId="8" fillId="0" borderId="9" xfId="0" applyFont="1" applyBorder="1" applyAlignment="1">
      <alignment horizontal="center" vertical="center"/>
    </xf>
    <xf numFmtId="39" fontId="18" fillId="2" borderId="1" xfId="0" applyNumberFormat="1" applyFont="1" applyFill="1" applyBorder="1" applyAlignment="1" applyProtection="1">
      <alignment horizontal="right"/>
      <protection locked="0"/>
    </xf>
    <xf numFmtId="39" fontId="19" fillId="5" borderId="1" xfId="0" applyNumberFormat="1" applyFont="1" applyFill="1" applyBorder="1" applyAlignment="1">
      <alignment horizontal="right"/>
    </xf>
    <xf numFmtId="39" fontId="18" fillId="5" borderId="1" xfId="3" applyNumberFormat="1" applyFont="1" applyFill="1" applyBorder="1" applyAlignment="1">
      <alignment horizontal="right"/>
    </xf>
    <xf numFmtId="39" fontId="18" fillId="3" borderId="1" xfId="0" applyNumberFormat="1" applyFont="1" applyFill="1" applyBorder="1" applyAlignment="1">
      <alignment horizontal="right"/>
    </xf>
    <xf numFmtId="39" fontId="20" fillId="3" borderId="1" xfId="0" applyNumberFormat="1" applyFont="1" applyFill="1" applyBorder="1" applyAlignment="1">
      <alignment horizontal="right"/>
    </xf>
    <xf numFmtId="37" fontId="18" fillId="2" borderId="1" xfId="0" applyNumberFormat="1" applyFont="1" applyFill="1" applyBorder="1" applyAlignment="1" applyProtection="1">
      <alignment horizontal="right"/>
      <protection locked="0"/>
    </xf>
    <xf numFmtId="37" fontId="20" fillId="2" borderId="1" xfId="0" applyNumberFormat="1" applyFont="1" applyFill="1" applyBorder="1" applyAlignment="1" applyProtection="1">
      <alignment horizontal="center"/>
      <protection locked="0"/>
    </xf>
    <xf numFmtId="37" fontId="20" fillId="2" borderId="1" xfId="0" quotePrefix="1" applyNumberFormat="1" applyFont="1" applyFill="1" applyBorder="1" applyAlignment="1" applyProtection="1">
      <alignment horizontal="center"/>
      <protection locked="0"/>
    </xf>
    <xf numFmtId="37" fontId="18" fillId="2" borderId="15" xfId="0" quotePrefix="1" applyNumberFormat="1" applyFont="1" applyFill="1" applyBorder="1" applyAlignment="1" applyProtection="1">
      <alignment horizontal="right"/>
      <protection locked="0"/>
    </xf>
    <xf numFmtId="37" fontId="18" fillId="2" borderId="1" xfId="0" quotePrefix="1" applyNumberFormat="1" applyFont="1" applyFill="1" applyBorder="1" applyAlignment="1" applyProtection="1">
      <alignment horizontal="right"/>
      <protection locked="0"/>
    </xf>
    <xf numFmtId="37" fontId="20" fillId="2" borderId="1" xfId="0" quotePrefix="1" applyNumberFormat="1" applyFont="1" applyFill="1" applyBorder="1" applyAlignment="1" applyProtection="1">
      <alignment horizontal="right"/>
      <protection locked="0"/>
    </xf>
    <xf numFmtId="39" fontId="18" fillId="0" borderId="1" xfId="0" applyNumberFormat="1" applyFont="1" applyBorder="1" applyAlignment="1">
      <alignment horizontal="right"/>
    </xf>
    <xf numFmtId="37" fontId="18" fillId="0" borderId="14" xfId="0" applyNumberFormat="1" applyFont="1" applyBorder="1" applyAlignment="1">
      <alignment horizontal="right" indent="2"/>
    </xf>
    <xf numFmtId="37" fontId="18" fillId="0" borderId="1" xfId="0" applyNumberFormat="1" applyFont="1" applyBorder="1" applyAlignment="1">
      <alignment horizontal="right" indent="2"/>
    </xf>
    <xf numFmtId="0" fontId="18" fillId="0" borderId="18" xfId="0" applyFont="1" applyBorder="1"/>
    <xf numFmtId="0" fontId="18" fillId="0" borderId="19" xfId="0" applyFont="1" applyBorder="1"/>
    <xf numFmtId="0" fontId="18" fillId="0" borderId="17" xfId="0" applyFont="1" applyBorder="1"/>
    <xf numFmtId="0" fontId="20" fillId="0" borderId="0" xfId="0" applyFont="1" applyAlignment="1">
      <alignment horizontal="right"/>
    </xf>
    <xf numFmtId="0" fontId="26" fillId="0" borderId="0" xfId="0" applyFont="1" applyAlignment="1">
      <alignment horizontal="center"/>
    </xf>
    <xf numFmtId="0" fontId="4" fillId="0" borderId="0" xfId="0" applyFont="1" applyAlignment="1">
      <alignment horizontal="left" wrapText="1"/>
    </xf>
    <xf numFmtId="0" fontId="0" fillId="13" borderId="0" xfId="0" applyFill="1"/>
    <xf numFmtId="0" fontId="0" fillId="0" borderId="0" xfId="0" applyAlignment="1">
      <alignment horizontal="center"/>
    </xf>
    <xf numFmtId="0" fontId="38" fillId="0" borderId="0" xfId="0" applyFont="1" applyAlignment="1">
      <alignment horizontal="center"/>
    </xf>
    <xf numFmtId="0" fontId="37" fillId="0" borderId="0" xfId="0" applyFont="1" applyAlignment="1">
      <alignment horizontal="center"/>
    </xf>
    <xf numFmtId="0" fontId="32" fillId="0" borderId="0" xfId="4"/>
    <xf numFmtId="0" fontId="39" fillId="0" borderId="0" xfId="0" applyFont="1"/>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vertical="center"/>
    </xf>
    <xf numFmtId="0" fontId="3" fillId="0" borderId="0" xfId="0" applyFont="1" applyAlignment="1">
      <alignment horizontal="centerContinuous"/>
    </xf>
    <xf numFmtId="0" fontId="4" fillId="0" borderId="0" xfId="0" applyFont="1" applyAlignment="1">
      <alignment horizontal="centerContinuous"/>
    </xf>
    <xf numFmtId="0" fontId="6" fillId="0" borderId="0" xfId="0" applyFont="1" applyAlignment="1">
      <alignment horizontal="centerContinuous"/>
    </xf>
    <xf numFmtId="0" fontId="21" fillId="0" borderId="0" xfId="0" applyFont="1" applyAlignment="1">
      <alignment horizontal="centerContinuous"/>
    </xf>
    <xf numFmtId="0" fontId="6" fillId="0" borderId="0" xfId="0" applyFont="1" applyAlignment="1">
      <alignment horizontal="right"/>
    </xf>
    <xf numFmtId="0" fontId="3" fillId="0" borderId="0" xfId="0" applyFont="1" applyAlignment="1">
      <alignment horizontal="left"/>
    </xf>
    <xf numFmtId="0" fontId="7" fillId="0" borderId="0" xfId="0" applyFont="1" applyAlignment="1">
      <alignment horizontal="centerContinuous"/>
    </xf>
    <xf numFmtId="0" fontId="8" fillId="0" borderId="0" xfId="0" applyFont="1" applyAlignment="1">
      <alignment horizontal="centerContinuous"/>
    </xf>
    <xf numFmtId="0" fontId="3" fillId="0" borderId="0" xfId="0" applyFont="1"/>
    <xf numFmtId="0" fontId="3" fillId="0" borderId="3" xfId="0" applyFont="1" applyBorder="1"/>
    <xf numFmtId="0" fontId="6" fillId="0" borderId="3" xfId="0" applyFont="1" applyBorder="1"/>
    <xf numFmtId="0" fontId="5" fillId="0" borderId="3" xfId="0" quotePrefix="1" applyFont="1" applyBorder="1" applyAlignment="1">
      <alignment horizontal="left"/>
    </xf>
    <xf numFmtId="0" fontId="6" fillId="0" borderId="0" xfId="0" applyFont="1" applyAlignment="1">
      <alignment horizontal="center"/>
    </xf>
    <xf numFmtId="0" fontId="5" fillId="0" borderId="0" xfId="0" applyFont="1" applyAlignment="1">
      <alignment horizontal="center" wrapText="1"/>
    </xf>
    <xf numFmtId="0" fontId="8" fillId="0" borderId="0" xfId="0" applyFont="1" applyAlignment="1">
      <alignment horizontal="left"/>
    </xf>
    <xf numFmtId="0" fontId="12" fillId="0" borderId="0" xfId="0" quotePrefix="1" applyFont="1" applyAlignment="1">
      <alignment horizontal="left"/>
    </xf>
    <xf numFmtId="0" fontId="19" fillId="0" borderId="1" xfId="0" applyFont="1" applyBorder="1" applyAlignment="1">
      <alignment horizontal="left"/>
    </xf>
    <xf numFmtId="0" fontId="6" fillId="0" borderId="3" xfId="0" applyFont="1" applyBorder="1" applyAlignment="1">
      <alignment horizontal="center"/>
    </xf>
    <xf numFmtId="0" fontId="5" fillId="0" borderId="3" xfId="0" applyFont="1" applyBorder="1" applyAlignment="1">
      <alignment horizontal="center"/>
    </xf>
    <xf numFmtId="14" fontId="5" fillId="0" borderId="3" xfId="0" applyNumberFormat="1" applyFont="1" applyBorder="1" applyAlignment="1">
      <alignment horizontal="left"/>
    </xf>
    <xf numFmtId="0" fontId="2" fillId="0" borderId="0" xfId="0" applyFont="1"/>
    <xf numFmtId="0" fontId="9" fillId="0" borderId="0" xfId="0" applyFont="1" applyAlignment="1">
      <alignment horizontal="center"/>
    </xf>
    <xf numFmtId="0" fontId="11" fillId="0" borderId="0" xfId="0" applyFont="1" applyAlignment="1">
      <alignment horizontal="left"/>
    </xf>
    <xf numFmtId="0" fontId="12" fillId="0" borderId="0" xfId="0" applyFont="1" applyAlignment="1">
      <alignment horizontal="left" vertical="center" wrapText="1"/>
    </xf>
    <xf numFmtId="0" fontId="4" fillId="0" borderId="0" xfId="0" applyFont="1" applyAlignment="1">
      <alignment horizontal="left" vertical="center" wrapText="1"/>
    </xf>
    <xf numFmtId="37" fontId="18" fillId="0" borderId="1" xfId="0" applyNumberFormat="1" applyFont="1" applyBorder="1" applyAlignment="1">
      <alignment horizontal="right"/>
    </xf>
    <xf numFmtId="10" fontId="18" fillId="0" borderId="1" xfId="3" applyNumberFormat="1" applyFont="1" applyFill="1" applyBorder="1" applyAlignment="1" applyProtection="1">
      <alignment horizontal="center"/>
    </xf>
    <xf numFmtId="10" fontId="5" fillId="5" borderId="15" xfId="0" applyNumberFormat="1" applyFont="1" applyFill="1" applyBorder="1" applyAlignment="1">
      <alignment horizontal="center"/>
    </xf>
    <xf numFmtId="0" fontId="20" fillId="0" borderId="5" xfId="0" applyFont="1" applyBorder="1" applyAlignment="1">
      <alignment horizontal="center"/>
    </xf>
    <xf numFmtId="39" fontId="20" fillId="0" borderId="1" xfId="0" applyNumberFormat="1" applyFont="1" applyBorder="1" applyAlignment="1">
      <alignment horizontal="right"/>
    </xf>
    <xf numFmtId="37" fontId="20" fillId="0" borderId="1" xfId="0" applyNumberFormat="1" applyFont="1" applyBorder="1" applyAlignment="1">
      <alignment horizontal="right"/>
    </xf>
    <xf numFmtId="10" fontId="20" fillId="0" borderId="1" xfId="3" applyNumberFormat="1" applyFont="1" applyFill="1" applyBorder="1" applyAlignment="1" applyProtection="1">
      <alignment horizontal="center"/>
    </xf>
    <xf numFmtId="10" fontId="20" fillId="0" borderId="1" xfId="0" applyNumberFormat="1" applyFont="1" applyBorder="1" applyAlignment="1">
      <alignment horizontal="center"/>
    </xf>
    <xf numFmtId="0" fontId="20" fillId="0" borderId="15" xfId="0" applyFont="1" applyBorder="1" applyAlignment="1">
      <alignment horizontal="center"/>
    </xf>
    <xf numFmtId="39" fontId="20" fillId="0" borderId="13" xfId="0" applyNumberFormat="1" applyFont="1" applyBorder="1" applyAlignment="1">
      <alignment horizontal="right"/>
    </xf>
    <xf numFmtId="10" fontId="20" fillId="0" borderId="13" xfId="3" applyNumberFormat="1" applyFont="1" applyFill="1" applyBorder="1" applyAlignment="1" applyProtection="1">
      <alignment horizontal="center"/>
    </xf>
    <xf numFmtId="10" fontId="20" fillId="0" borderId="13" xfId="0" applyNumberFormat="1" applyFont="1" applyBorder="1" applyAlignment="1">
      <alignment horizontal="center"/>
    </xf>
    <xf numFmtId="0" fontId="18" fillId="0" borderId="37" xfId="0" applyFont="1" applyBorder="1" applyAlignment="1">
      <alignment horizontal="center"/>
    </xf>
    <xf numFmtId="10" fontId="20" fillId="0" borderId="16" xfId="3" applyNumberFormat="1" applyFont="1" applyFill="1" applyBorder="1" applyAlignment="1" applyProtection="1">
      <alignment horizontal="center" vertical="center" wrapText="1"/>
    </xf>
    <xf numFmtId="0" fontId="18" fillId="0" borderId="36" xfId="0" applyFont="1" applyBorder="1" applyAlignment="1">
      <alignment horizontal="center"/>
    </xf>
    <xf numFmtId="10" fontId="20" fillId="0" borderId="20" xfId="3" applyNumberFormat="1" applyFont="1" applyFill="1" applyBorder="1" applyAlignment="1" applyProtection="1">
      <alignment horizontal="center" vertical="center" wrapText="1"/>
    </xf>
    <xf numFmtId="10" fontId="20" fillId="0" borderId="0" xfId="3" applyNumberFormat="1" applyFont="1" applyFill="1" applyBorder="1" applyAlignment="1" applyProtection="1">
      <alignment horizontal="center"/>
    </xf>
    <xf numFmtId="0" fontId="4" fillId="0" borderId="0" xfId="0" applyFont="1" applyAlignment="1">
      <alignment horizontal="left" vertical="center"/>
    </xf>
    <xf numFmtId="37" fontId="18" fillId="0" borderId="15" xfId="0" quotePrefix="1" applyNumberFormat="1" applyFont="1" applyBorder="1" applyAlignment="1">
      <alignment horizontal="right"/>
    </xf>
    <xf numFmtId="37" fontId="18" fillId="0" borderId="15" xfId="0" applyNumberFormat="1" applyFont="1" applyBorder="1" applyAlignment="1">
      <alignment horizontal="right"/>
    </xf>
    <xf numFmtId="10" fontId="18" fillId="0" borderId="15" xfId="3" applyNumberFormat="1" applyFont="1" applyFill="1" applyBorder="1" applyAlignment="1" applyProtection="1">
      <alignment horizontal="center"/>
    </xf>
    <xf numFmtId="37" fontId="20" fillId="0" borderId="15" xfId="0" quotePrefix="1" applyNumberFormat="1" applyFont="1" applyBorder="1" applyAlignment="1">
      <alignment horizontal="right"/>
    </xf>
    <xf numFmtId="37" fontId="20" fillId="0" borderId="15" xfId="0" applyNumberFormat="1" applyFont="1" applyBorder="1" applyAlignment="1">
      <alignment horizontal="right"/>
    </xf>
    <xf numFmtId="10" fontId="20" fillId="0" borderId="15" xfId="3" applyNumberFormat="1" applyFont="1" applyFill="1" applyBorder="1" applyAlignment="1" applyProtection="1">
      <alignment horizontal="center"/>
    </xf>
    <xf numFmtId="0" fontId="22" fillId="0" borderId="0" xfId="0" applyFont="1" applyAlignment="1">
      <alignment horizontal="right" vertical="center"/>
    </xf>
    <xf numFmtId="0" fontId="20" fillId="0" borderId="16" xfId="0" quotePrefix="1" applyFont="1" applyBorder="1" applyAlignment="1">
      <alignment horizontal="center" vertical="center"/>
    </xf>
    <xf numFmtId="0" fontId="19" fillId="0" borderId="0" xfId="0" applyFont="1"/>
    <xf numFmtId="0" fontId="25" fillId="0" borderId="38" xfId="0" applyFont="1" applyBorder="1" applyAlignment="1">
      <alignment wrapText="1"/>
    </xf>
    <xf numFmtId="0" fontId="17" fillId="0" borderId="5" xfId="0" applyFont="1" applyBorder="1" applyAlignment="1">
      <alignment horizontal="center"/>
    </xf>
    <xf numFmtId="0" fontId="17" fillId="0" borderId="0" xfId="0" applyFont="1" applyAlignment="1">
      <alignment horizontal="center"/>
    </xf>
    <xf numFmtId="0" fontId="8" fillId="0" borderId="10" xfId="0" applyFont="1" applyBorder="1" applyAlignment="1">
      <alignment horizontal="center"/>
    </xf>
    <xf numFmtId="0" fontId="8" fillId="0" borderId="2" xfId="0" applyFont="1" applyBorder="1" applyAlignment="1">
      <alignment horizontal="center"/>
    </xf>
    <xf numFmtId="38" fontId="18" fillId="5" borderId="1" xfId="2" applyNumberFormat="1" applyFont="1" applyFill="1" applyBorder="1" applyAlignment="1" applyProtection="1">
      <alignment horizontal="right"/>
    </xf>
    <xf numFmtId="0" fontId="20" fillId="4" borderId="1" xfId="0" applyFont="1" applyFill="1" applyBorder="1" applyAlignment="1">
      <alignment horizontal="centerContinuous"/>
    </xf>
    <xf numFmtId="38" fontId="18" fillId="5" borderId="15" xfId="2" applyNumberFormat="1" applyFont="1" applyFill="1" applyBorder="1" applyAlignment="1" applyProtection="1">
      <alignment horizontal="right"/>
    </xf>
    <xf numFmtId="37" fontId="20" fillId="0" borderId="15" xfId="2" applyNumberFormat="1" applyFont="1" applyFill="1" applyBorder="1" applyAlignment="1" applyProtection="1">
      <alignment horizontal="right"/>
    </xf>
    <xf numFmtId="38" fontId="18" fillId="0" borderId="0" xfId="2" applyNumberFormat="1" applyFont="1" applyFill="1" applyBorder="1" applyAlignment="1" applyProtection="1">
      <alignment horizontal="right"/>
    </xf>
    <xf numFmtId="166" fontId="19" fillId="0" borderId="0" xfId="0" applyNumberFormat="1" applyFont="1" applyAlignment="1">
      <alignment horizontal="center"/>
    </xf>
    <xf numFmtId="40" fontId="18" fillId="0" borderId="0" xfId="1" applyNumberFormat="1" applyFont="1" applyFill="1" applyBorder="1" applyAlignment="1" applyProtection="1">
      <alignment horizontal="right"/>
    </xf>
    <xf numFmtId="40" fontId="18" fillId="0" borderId="0" xfId="2" applyNumberFormat="1" applyFont="1" applyFill="1" applyBorder="1" applyAlignment="1" applyProtection="1">
      <alignment horizontal="right"/>
    </xf>
    <xf numFmtId="0" fontId="17" fillId="0" borderId="41" xfId="0" applyFont="1" applyBorder="1" applyAlignment="1">
      <alignment horizontal="center"/>
    </xf>
    <xf numFmtId="0" fontId="8" fillId="0" borderId="7" xfId="0" applyFont="1" applyBorder="1" applyAlignment="1">
      <alignment horizontal="center"/>
    </xf>
    <xf numFmtId="0" fontId="14" fillId="0" borderId="0" xfId="0" applyFont="1" applyAlignment="1">
      <alignment horizontal="center"/>
    </xf>
    <xf numFmtId="41" fontId="20" fillId="0" borderId="0" xfId="0" applyNumberFormat="1" applyFont="1" applyAlignment="1">
      <alignment horizontal="centerContinuous"/>
    </xf>
    <xf numFmtId="37" fontId="18" fillId="0" borderId="15" xfId="2" applyNumberFormat="1" applyFont="1" applyFill="1" applyBorder="1" applyAlignment="1" applyProtection="1">
      <alignment horizontal="right"/>
    </xf>
    <xf numFmtId="38" fontId="20" fillId="0" borderId="0" xfId="0" applyNumberFormat="1" applyFont="1" applyAlignment="1">
      <alignment horizontal="centerContinuous"/>
    </xf>
    <xf numFmtId="38" fontId="18" fillId="0" borderId="9" xfId="2" applyNumberFormat="1" applyFont="1" applyFill="1" applyBorder="1" applyAlignment="1" applyProtection="1">
      <alignment horizontal="right"/>
    </xf>
    <xf numFmtId="44" fontId="18" fillId="0" borderId="0" xfId="2" applyFont="1" applyFill="1" applyBorder="1" applyAlignment="1" applyProtection="1">
      <alignment horizontal="right"/>
    </xf>
    <xf numFmtId="44" fontId="18" fillId="0" borderId="40" xfId="2" applyFont="1" applyFill="1" applyBorder="1" applyAlignment="1" applyProtection="1">
      <alignment horizontal="right"/>
    </xf>
    <xf numFmtId="0" fontId="20" fillId="0" borderId="22" xfId="0" applyFont="1" applyBorder="1" applyAlignment="1">
      <alignment horizontal="center"/>
    </xf>
    <xf numFmtId="37" fontId="18" fillId="5" borderId="1" xfId="2" applyNumberFormat="1" applyFont="1" applyFill="1" applyBorder="1" applyAlignment="1" applyProtection="1">
      <alignment horizontal="right"/>
    </xf>
    <xf numFmtId="37" fontId="18" fillId="5" borderId="15" xfId="2" applyNumberFormat="1" applyFont="1" applyFill="1" applyBorder="1" applyAlignment="1" applyProtection="1">
      <alignment horizontal="right"/>
    </xf>
    <xf numFmtId="0" fontId="8" fillId="0" borderId="0" xfId="0" applyFont="1" applyAlignment="1">
      <alignment horizontal="right"/>
    </xf>
    <xf numFmtId="164" fontId="8" fillId="0" borderId="0" xfId="1" applyNumberFormat="1" applyFont="1" applyFill="1" applyBorder="1" applyAlignment="1" applyProtection="1">
      <alignment horizontal="center"/>
    </xf>
    <xf numFmtId="164" fontId="8" fillId="0" borderId="0" xfId="1" applyNumberFormat="1" applyFont="1" applyFill="1" applyBorder="1" applyProtection="1"/>
    <xf numFmtId="43" fontId="15" fillId="0" borderId="0" xfId="0" applyNumberFormat="1" applyFont="1"/>
    <xf numFmtId="167" fontId="8" fillId="0" borderId="0" xfId="0" applyNumberFormat="1" applyFont="1"/>
    <xf numFmtId="0" fontId="18" fillId="0" borderId="0" xfId="0" applyFont="1" applyAlignment="1">
      <alignment horizontal="left" vertical="center" indent="2"/>
    </xf>
    <xf numFmtId="0" fontId="18" fillId="0" borderId="0" xfId="0" applyFont="1" applyAlignment="1">
      <alignment vertical="center"/>
    </xf>
    <xf numFmtId="0" fontId="20" fillId="0" borderId="0" xfId="0" applyFont="1" applyAlignment="1">
      <alignment vertical="center"/>
    </xf>
    <xf numFmtId="165" fontId="20" fillId="0" borderId="0" xfId="3" applyNumberFormat="1" applyFont="1" applyAlignment="1" applyProtection="1">
      <alignment horizontal="right"/>
    </xf>
    <xf numFmtId="10" fontId="20" fillId="0" borderId="16" xfId="3" applyNumberFormat="1" applyFont="1" applyBorder="1" applyAlignment="1" applyProtection="1">
      <alignment horizontal="right"/>
    </xf>
    <xf numFmtId="167" fontId="18" fillId="0" borderId="0" xfId="3" applyNumberFormat="1" applyFont="1" applyBorder="1" applyAlignment="1" applyProtection="1">
      <alignment horizontal="right"/>
    </xf>
    <xf numFmtId="167" fontId="18" fillId="0" borderId="0" xfId="0" applyNumberFormat="1" applyFont="1" applyAlignment="1">
      <alignment horizontal="center"/>
    </xf>
    <xf numFmtId="10" fontId="20" fillId="0" borderId="43" xfId="3" applyNumberFormat="1" applyFont="1" applyBorder="1" applyAlignment="1" applyProtection="1">
      <alignment horizontal="right"/>
    </xf>
    <xf numFmtId="167" fontId="4" fillId="0" borderId="0" xfId="0" applyNumberFormat="1" applyFont="1"/>
    <xf numFmtId="165" fontId="20" fillId="0" borderId="0" xfId="3" applyNumberFormat="1" applyFont="1" applyProtection="1"/>
    <xf numFmtId="167" fontId="19" fillId="0" borderId="0" xfId="0" applyNumberFormat="1" applyFont="1"/>
    <xf numFmtId="167" fontId="18" fillId="0" borderId="0" xfId="0" applyNumberFormat="1" applyFont="1"/>
    <xf numFmtId="44" fontId="18" fillId="4" borderId="0" xfId="2" applyFont="1" applyFill="1" applyBorder="1" applyAlignment="1" applyProtection="1">
      <alignment horizontal="center"/>
    </xf>
    <xf numFmtId="0" fontId="18" fillId="0" borderId="0" xfId="0" applyFont="1" applyAlignment="1">
      <alignment horizontal="right"/>
    </xf>
    <xf numFmtId="0" fontId="18" fillId="0" borderId="38" xfId="0" applyFont="1" applyBorder="1" applyAlignment="1">
      <alignment horizontal="center"/>
    </xf>
    <xf numFmtId="16" fontId="20" fillId="0" borderId="0" xfId="0" quotePrefix="1" applyNumberFormat="1" applyFont="1" applyAlignment="1">
      <alignment horizontal="center"/>
    </xf>
    <xf numFmtId="49" fontId="20" fillId="0" borderId="0" xfId="0" quotePrefix="1" applyNumberFormat="1" applyFont="1" applyAlignment="1">
      <alignment horizontal="center"/>
    </xf>
    <xf numFmtId="16" fontId="18" fillId="0" borderId="1" xfId="0" applyNumberFormat="1" applyFont="1" applyBorder="1" applyAlignment="1">
      <alignment horizontal="center"/>
    </xf>
    <xf numFmtId="16" fontId="20" fillId="0" borderId="1" xfId="0" quotePrefix="1" applyNumberFormat="1" applyFont="1" applyBorder="1" applyAlignment="1">
      <alignment horizontal="center"/>
    </xf>
    <xf numFmtId="16" fontId="18" fillId="5" borderId="1" xfId="0" quotePrefix="1" applyNumberFormat="1" applyFont="1" applyFill="1" applyBorder="1" applyAlignment="1">
      <alignment horizontal="center"/>
    </xf>
    <xf numFmtId="10" fontId="20" fillId="0" borderId="0" xfId="0" quotePrefix="1" applyNumberFormat="1" applyFont="1" applyAlignment="1">
      <alignment horizontal="center"/>
    </xf>
    <xf numFmtId="16" fontId="18" fillId="0" borderId="1" xfId="0" quotePrefix="1" applyNumberFormat="1" applyFont="1" applyBorder="1" applyAlignment="1">
      <alignment horizontal="center"/>
    </xf>
    <xf numFmtId="44" fontId="18" fillId="0" borderId="0" xfId="0" quotePrefix="1" applyNumberFormat="1" applyFont="1" applyAlignment="1">
      <alignment horizontal="center"/>
    </xf>
    <xf numFmtId="0" fontId="18" fillId="0" borderId="13" xfId="0" quotePrefix="1" applyFont="1" applyBorder="1" applyAlignment="1">
      <alignment horizontal="center"/>
    </xf>
    <xf numFmtId="0" fontId="18" fillId="0" borderId="0" xfId="0" applyFont="1" applyAlignment="1">
      <alignment horizontal="left" wrapText="1"/>
    </xf>
    <xf numFmtId="44" fontId="20" fillId="0" borderId="1" xfId="2" quotePrefix="1" applyFont="1" applyFill="1" applyBorder="1" applyAlignment="1" applyProtection="1">
      <alignment horizontal="center"/>
    </xf>
    <xf numFmtId="44" fontId="20" fillId="0" borderId="1" xfId="2" applyFont="1" applyBorder="1" applyAlignment="1" applyProtection="1">
      <alignment horizontal="center"/>
    </xf>
    <xf numFmtId="3" fontId="18" fillId="0" borderId="1" xfId="2" applyNumberFormat="1" applyFont="1" applyFill="1" applyBorder="1" applyAlignment="1" applyProtection="1">
      <alignment horizontal="right"/>
    </xf>
    <xf numFmtId="3" fontId="18" fillId="0" borderId="1" xfId="2" quotePrefix="1" applyNumberFormat="1" applyFont="1" applyFill="1" applyBorder="1" applyAlignment="1" applyProtection="1">
      <alignment horizontal="right"/>
    </xf>
    <xf numFmtId="3" fontId="18" fillId="0" borderId="15" xfId="2" applyNumberFormat="1" applyFont="1" applyFill="1" applyBorder="1" applyAlignment="1" applyProtection="1">
      <alignment horizontal="right"/>
    </xf>
    <xf numFmtId="3" fontId="20" fillId="5" borderId="15" xfId="2" applyNumberFormat="1" applyFont="1" applyFill="1" applyBorder="1" applyAlignment="1" applyProtection="1">
      <alignment horizontal="right"/>
    </xf>
    <xf numFmtId="3" fontId="18" fillId="5" borderId="1" xfId="2" applyNumberFormat="1" applyFont="1" applyFill="1" applyBorder="1" applyAlignment="1" applyProtection="1">
      <alignment horizontal="right"/>
    </xf>
    <xf numFmtId="3" fontId="18" fillId="0" borderId="13" xfId="2" applyNumberFormat="1" applyFont="1" applyFill="1" applyBorder="1" applyAlignment="1" applyProtection="1">
      <alignment horizontal="right"/>
    </xf>
    <xf numFmtId="3" fontId="20" fillId="5" borderId="12" xfId="2" applyNumberFormat="1" applyFont="1" applyFill="1" applyBorder="1" applyAlignment="1" applyProtection="1">
      <alignment horizontal="right"/>
    </xf>
    <xf numFmtId="3" fontId="20" fillId="5" borderId="11" xfId="2" applyNumberFormat="1" applyFont="1" applyFill="1" applyBorder="1" applyAlignment="1" applyProtection="1">
      <alignment horizontal="right"/>
    </xf>
    <xf numFmtId="166" fontId="20" fillId="0" borderId="0" xfId="3" applyNumberFormat="1" applyFont="1" applyFill="1" applyBorder="1" applyProtection="1"/>
    <xf numFmtId="10" fontId="20" fillId="0" borderId="0" xfId="3" applyNumberFormat="1" applyFont="1" applyFill="1" applyBorder="1" applyProtection="1"/>
    <xf numFmtId="0" fontId="25" fillId="0" borderId="0" xfId="0" applyFont="1" applyAlignment="1">
      <alignment horizontal="center"/>
    </xf>
    <xf numFmtId="0" fontId="25" fillId="0" borderId="0" xfId="0" applyFont="1" applyAlignment="1">
      <alignment horizontal="center" vertical="center"/>
    </xf>
    <xf numFmtId="0" fontId="4" fillId="0" borderId="0" xfId="0" applyFont="1" applyAlignment="1">
      <alignment horizontal="left" vertical="top" wrapText="1"/>
    </xf>
    <xf numFmtId="0" fontId="20" fillId="0" borderId="2" xfId="0" applyFont="1" applyBorder="1" applyAlignment="1">
      <alignment horizontal="center"/>
    </xf>
    <xf numFmtId="16" fontId="20" fillId="0" borderId="2" xfId="0" quotePrefix="1" applyNumberFormat="1" applyFont="1" applyBorder="1" applyAlignment="1">
      <alignment horizontal="center"/>
    </xf>
    <xf numFmtId="38" fontId="18" fillId="0" borderId="0" xfId="3" applyNumberFormat="1" applyFont="1" applyBorder="1" applyProtection="1"/>
    <xf numFmtId="44" fontId="18" fillId="0" borderId="0" xfId="3" applyNumberFormat="1" applyFont="1" applyBorder="1" applyProtection="1"/>
    <xf numFmtId="10" fontId="18" fillId="0" borderId="0" xfId="3" applyNumberFormat="1" applyFont="1" applyBorder="1" applyProtection="1"/>
    <xf numFmtId="16" fontId="20" fillId="0" borderId="1" xfId="0" applyNumberFormat="1" applyFont="1" applyBorder="1" applyAlignment="1">
      <alignment horizontal="center"/>
    </xf>
    <xf numFmtId="44" fontId="20" fillId="0" borderId="0" xfId="2" applyFont="1" applyFill="1" applyBorder="1" applyAlignment="1" applyProtection="1">
      <alignment horizontal="center"/>
    </xf>
    <xf numFmtId="44" fontId="20" fillId="0" borderId="0" xfId="2" quotePrefix="1" applyFont="1" applyFill="1" applyBorder="1" applyAlignment="1" applyProtection="1">
      <alignment horizontal="center"/>
    </xf>
    <xf numFmtId="43" fontId="18" fillId="8" borderId="15" xfId="0" quotePrefix="1" applyNumberFormat="1" applyFont="1" applyFill="1" applyBorder="1" applyAlignment="1" applyProtection="1">
      <alignment horizontal="center"/>
      <protection locked="0"/>
    </xf>
    <xf numFmtId="164" fontId="18" fillId="8" borderId="1" xfId="0" quotePrefix="1" applyNumberFormat="1" applyFont="1" applyFill="1" applyBorder="1" applyAlignment="1" applyProtection="1">
      <alignment horizontal="center"/>
      <protection locked="0"/>
    </xf>
    <xf numFmtId="44" fontId="18" fillId="0" borderId="30" xfId="2" applyFont="1" applyFill="1" applyBorder="1" applyAlignment="1" applyProtection="1">
      <alignment horizontal="center"/>
    </xf>
    <xf numFmtId="9" fontId="18" fillId="0" borderId="31" xfId="3" applyFont="1" applyFill="1" applyBorder="1" applyAlignment="1" applyProtection="1">
      <alignment horizontal="center"/>
    </xf>
    <xf numFmtId="44" fontId="18" fillId="0" borderId="0" xfId="2" applyFont="1" applyFill="1" applyBorder="1" applyAlignment="1" applyProtection="1">
      <alignment horizontal="center"/>
    </xf>
    <xf numFmtId="9" fontId="18" fillId="0" borderId="0" xfId="3" applyFont="1" applyFill="1" applyBorder="1" applyAlignment="1" applyProtection="1">
      <alignment horizontal="center"/>
    </xf>
    <xf numFmtId="0" fontId="18" fillId="0" borderId="0" xfId="0" applyFont="1" applyAlignment="1">
      <alignment horizontal="center" wrapText="1"/>
    </xf>
    <xf numFmtId="167" fontId="18" fillId="0" borderId="1" xfId="0" applyNumberFormat="1" applyFont="1" applyBorder="1" applyAlignment="1">
      <alignment horizontal="center"/>
    </xf>
    <xf numFmtId="0" fontId="10" fillId="0" borderId="1" xfId="0" applyFont="1" applyBorder="1" applyAlignment="1">
      <alignment horizontal="center"/>
    </xf>
    <xf numFmtId="0" fontId="8" fillId="0" borderId="1" xfId="0" applyFont="1" applyBorder="1" applyAlignment="1">
      <alignment horizontal="center"/>
    </xf>
    <xf numFmtId="167" fontId="18" fillId="0" borderId="46" xfId="0" applyNumberFormat="1" applyFont="1" applyBorder="1" applyAlignment="1">
      <alignment horizontal="center"/>
    </xf>
    <xf numFmtId="167" fontId="18" fillId="0" borderId="45" xfId="0" applyNumberFormat="1" applyFont="1" applyBorder="1" applyAlignment="1">
      <alignment horizontal="center"/>
    </xf>
    <xf numFmtId="167" fontId="18" fillId="0" borderId="47" xfId="0" applyNumberFormat="1" applyFont="1" applyBorder="1" applyAlignment="1">
      <alignment horizontal="center"/>
    </xf>
    <xf numFmtId="0" fontId="20" fillId="0" borderId="0" xfId="0" quotePrefix="1" applyFont="1" applyAlignment="1">
      <alignment horizontal="left"/>
    </xf>
    <xf numFmtId="167" fontId="20" fillId="0" borderId="0" xfId="0" applyNumberFormat="1" applyFont="1" applyAlignment="1">
      <alignment horizontal="center"/>
    </xf>
    <xf numFmtId="0" fontId="10" fillId="0" borderId="0" xfId="0" applyFont="1" applyAlignment="1">
      <alignment horizontal="center" vertical="center"/>
    </xf>
    <xf numFmtId="0" fontId="18" fillId="0" borderId="0" xfId="0" applyFont="1" applyAlignment="1">
      <alignment horizontal="right" wrapText="1"/>
    </xf>
    <xf numFmtId="44" fontId="18" fillId="0" borderId="1" xfId="2" applyFont="1" applyFill="1" applyBorder="1" applyProtection="1"/>
    <xf numFmtId="17" fontId="18" fillId="0" borderId="0" xfId="0" quotePrefix="1" applyNumberFormat="1" applyFont="1" applyAlignment="1">
      <alignment horizontal="center"/>
    </xf>
    <xf numFmtId="40" fontId="18" fillId="0" borderId="1" xfId="2" applyNumberFormat="1" applyFont="1" applyFill="1" applyBorder="1" applyProtection="1"/>
    <xf numFmtId="43" fontId="18" fillId="0" borderId="0" xfId="1" applyFont="1" applyFill="1" applyBorder="1" applyProtection="1"/>
    <xf numFmtId="0" fontId="20" fillId="0" borderId="0" xfId="0" applyFont="1" applyAlignment="1">
      <alignment vertical="top"/>
    </xf>
    <xf numFmtId="0" fontId="22" fillId="0" borderId="0" xfId="0" applyFont="1" applyAlignment="1">
      <alignment horizontal="left"/>
    </xf>
    <xf numFmtId="10" fontId="18" fillId="0" borderId="1" xfId="3" applyNumberFormat="1" applyFont="1" applyFill="1" applyBorder="1" applyAlignment="1">
      <alignment horizontal="right"/>
    </xf>
    <xf numFmtId="10" fontId="18" fillId="0" borderId="1" xfId="3" applyNumberFormat="1" applyFont="1" applyFill="1" applyBorder="1" applyAlignment="1" applyProtection="1">
      <alignment horizontal="right"/>
    </xf>
    <xf numFmtId="10" fontId="20" fillId="0" borderId="1" xfId="3" applyNumberFormat="1" applyFont="1" applyFill="1" applyBorder="1" applyAlignment="1" applyProtection="1">
      <alignment horizontal="right"/>
    </xf>
    <xf numFmtId="10" fontId="20" fillId="0" borderId="13" xfId="3" applyNumberFormat="1" applyFont="1" applyFill="1" applyBorder="1" applyAlignment="1" applyProtection="1">
      <alignment horizontal="right"/>
    </xf>
    <xf numFmtId="0" fontId="20" fillId="14" borderId="1" xfId="0" applyFont="1" applyFill="1" applyBorder="1" applyAlignment="1">
      <alignment horizontal="centerContinuous"/>
    </xf>
    <xf numFmtId="49" fontId="41" fillId="0" borderId="0" xfId="0" applyNumberFormat="1" applyFont="1" applyAlignment="1">
      <alignment horizontal="right"/>
    </xf>
    <xf numFmtId="0" fontId="42" fillId="0" borderId="0" xfId="0" applyFont="1"/>
    <xf numFmtId="49" fontId="43" fillId="0" borderId="0" xfId="0" applyNumberFormat="1" applyFont="1" applyAlignment="1">
      <alignment horizontal="right"/>
    </xf>
    <xf numFmtId="37" fontId="18" fillId="3" borderId="1" xfId="0" applyNumberFormat="1" applyFont="1" applyFill="1" applyBorder="1" applyAlignment="1">
      <alignment horizontal="right"/>
    </xf>
    <xf numFmtId="37" fontId="20" fillId="3" borderId="1" xfId="0" applyNumberFormat="1" applyFont="1" applyFill="1" applyBorder="1" applyAlignment="1">
      <alignment horizontal="right"/>
    </xf>
    <xf numFmtId="39" fontId="20" fillId="3" borderId="13" xfId="0" applyNumberFormat="1" applyFont="1" applyFill="1" applyBorder="1" applyAlignment="1">
      <alignment horizontal="right"/>
    </xf>
    <xf numFmtId="166" fontId="20" fillId="0" borderId="6" xfId="0" applyNumberFormat="1" applyFont="1" applyBorder="1" applyAlignment="1">
      <alignment horizontal="center"/>
    </xf>
    <xf numFmtId="167" fontId="18" fillId="0" borderId="1" xfId="0" applyNumberFormat="1" applyFont="1" applyBorder="1"/>
    <xf numFmtId="166" fontId="18" fillId="0" borderId="6" xfId="0" applyNumberFormat="1" applyFont="1" applyBorder="1" applyAlignment="1">
      <alignment horizontal="center"/>
    </xf>
    <xf numFmtId="166" fontId="20" fillId="0" borderId="7" xfId="0" applyNumberFormat="1" applyFont="1" applyBorder="1" applyAlignment="1">
      <alignment horizontal="center"/>
    </xf>
    <xf numFmtId="0" fontId="10" fillId="0" borderId="0" xfId="0" applyFont="1" applyAlignment="1">
      <alignment horizontal="center"/>
    </xf>
    <xf numFmtId="0" fontId="18" fillId="0" borderId="1" xfId="0" applyFont="1" applyBorder="1" applyAlignment="1">
      <alignment horizontal="center" wrapText="1"/>
    </xf>
    <xf numFmtId="0" fontId="17" fillId="0" borderId="14" xfId="0" applyFont="1" applyBorder="1" applyAlignment="1">
      <alignment horizontal="center" wrapText="1"/>
    </xf>
    <xf numFmtId="0" fontId="47" fillId="0" borderId="0" xfId="0" applyFont="1"/>
    <xf numFmtId="167" fontId="18" fillId="6" borderId="1" xfId="0" applyNumberFormat="1" applyFont="1" applyFill="1" applyBorder="1" applyAlignment="1" applyProtection="1">
      <alignment horizontal="left" wrapText="1"/>
      <protection locked="0"/>
    </xf>
    <xf numFmtId="167" fontId="18" fillId="6" borderId="1" xfId="0" applyNumberFormat="1" applyFont="1" applyFill="1" applyBorder="1" applyAlignment="1" applyProtection="1">
      <alignment horizontal="center" wrapText="1"/>
      <protection locked="0"/>
    </xf>
    <xf numFmtId="10" fontId="18" fillId="0" borderId="1" xfId="3" applyNumberFormat="1" applyFont="1" applyBorder="1" applyAlignment="1">
      <alignment horizontal="center" wrapText="1"/>
    </xf>
    <xf numFmtId="0" fontId="18" fillId="0" borderId="52" xfId="0" applyFont="1" applyBorder="1" applyAlignment="1">
      <alignment horizontal="left" wrapText="1"/>
    </xf>
    <xf numFmtId="16" fontId="18" fillId="0" borderId="0" xfId="0" quotePrefix="1" applyNumberFormat="1" applyFont="1" applyAlignment="1">
      <alignment horizontal="center"/>
    </xf>
    <xf numFmtId="1" fontId="18" fillId="0" borderId="0" xfId="0" quotePrefix="1" applyNumberFormat="1" applyFont="1" applyAlignment="1">
      <alignment horizontal="center"/>
    </xf>
    <xf numFmtId="167" fontId="18" fillId="0" borderId="0" xfId="0" quotePrefix="1" applyNumberFormat="1" applyFont="1" applyAlignment="1">
      <alignment horizontal="center"/>
    </xf>
    <xf numFmtId="0" fontId="8" fillId="0" borderId="1" xfId="0" applyFont="1" applyBorder="1"/>
    <xf numFmtId="0" fontId="8" fillId="0" borderId="1" xfId="0" applyFont="1" applyBorder="1" applyAlignment="1">
      <alignment horizontal="center" wrapText="1"/>
    </xf>
    <xf numFmtId="16" fontId="8" fillId="0" borderId="1" xfId="0" quotePrefix="1" applyNumberFormat="1" applyFont="1" applyBorder="1" applyAlignment="1">
      <alignment horizontal="center"/>
    </xf>
    <xf numFmtId="1" fontId="8" fillId="0" borderId="1" xfId="0" quotePrefix="1" applyNumberFormat="1" applyFont="1" applyBorder="1" applyAlignment="1">
      <alignment horizontal="center"/>
    </xf>
    <xf numFmtId="1" fontId="8" fillId="0" borderId="1" xfId="0" quotePrefix="1" applyNumberFormat="1" applyFont="1" applyBorder="1" applyAlignment="1">
      <alignment horizontal="center" wrapText="1"/>
    </xf>
    <xf numFmtId="0" fontId="8" fillId="0" borderId="0" xfId="0" applyFont="1" applyAlignment="1">
      <alignment horizontal="center" wrapText="1"/>
    </xf>
    <xf numFmtId="0" fontId="18" fillId="0" borderId="1" xfId="0" applyFont="1" applyBorder="1" applyAlignment="1">
      <alignment horizontal="center" vertical="center" wrapText="1"/>
    </xf>
    <xf numFmtId="16" fontId="10" fillId="0" borderId="14" xfId="0" quotePrefix="1" applyNumberFormat="1" applyFont="1" applyBorder="1" applyAlignment="1">
      <alignment horizontal="center" vertical="center"/>
    </xf>
    <xf numFmtId="167" fontId="18" fillId="0" borderId="1" xfId="0" quotePrefix="1" applyNumberFormat="1" applyFont="1" applyBorder="1" applyAlignment="1">
      <alignment horizontal="center"/>
    </xf>
    <xf numFmtId="0" fontId="20" fillId="0" borderId="0" xfId="0" applyFont="1" applyAlignment="1">
      <alignment wrapText="1"/>
    </xf>
    <xf numFmtId="16" fontId="20" fillId="0" borderId="26" xfId="0" applyNumberFormat="1" applyFont="1" applyBorder="1" applyAlignment="1">
      <alignment horizontal="center" wrapText="1"/>
    </xf>
    <xf numFmtId="16" fontId="20" fillId="0" borderId="21" xfId="0" applyNumberFormat="1" applyFont="1" applyBorder="1" applyAlignment="1">
      <alignment horizontal="center" wrapText="1"/>
    </xf>
    <xf numFmtId="10" fontId="18" fillId="6" borderId="15" xfId="3" applyNumberFormat="1" applyFont="1" applyFill="1" applyBorder="1" applyAlignment="1" applyProtection="1">
      <alignment horizontal="center"/>
      <protection locked="0"/>
    </xf>
    <xf numFmtId="10" fontId="18" fillId="0" borderId="15" xfId="3" applyNumberFormat="1" applyFont="1" applyFill="1" applyBorder="1" applyAlignment="1">
      <alignment horizontal="center"/>
    </xf>
    <xf numFmtId="10" fontId="18" fillId="0" borderId="0" xfId="0" applyNumberFormat="1" applyFont="1"/>
    <xf numFmtId="2" fontId="18" fillId="0" borderId="0" xfId="0" applyNumberFormat="1" applyFont="1" applyAlignment="1">
      <alignment horizontal="center"/>
    </xf>
    <xf numFmtId="10" fontId="20" fillId="0" borderId="0" xfId="0" applyNumberFormat="1" applyFont="1"/>
    <xf numFmtId="2" fontId="8" fillId="0" borderId="1" xfId="0" applyNumberFormat="1" applyFont="1" applyBorder="1" applyAlignment="1">
      <alignment horizontal="center" wrapText="1"/>
    </xf>
    <xf numFmtId="10" fontId="8" fillId="0" borderId="1" xfId="0" applyNumberFormat="1" applyFont="1" applyBorder="1" applyAlignment="1">
      <alignment horizontal="center" wrapText="1"/>
    </xf>
    <xf numFmtId="10" fontId="18" fillId="0" borderId="1" xfId="0" applyNumberFormat="1" applyFont="1" applyBorder="1" applyAlignment="1">
      <alignment horizontal="center" wrapText="1"/>
    </xf>
    <xf numFmtId="0" fontId="10" fillId="0" borderId="1" xfId="0" applyFont="1" applyBorder="1" applyAlignment="1">
      <alignment horizontal="center" vertical="center"/>
    </xf>
    <xf numFmtId="167" fontId="18" fillId="0" borderId="15" xfId="0" applyNumberFormat="1" applyFont="1" applyBorder="1" applyAlignment="1">
      <alignment horizontal="center"/>
    </xf>
    <xf numFmtId="167" fontId="18" fillId="0" borderId="15" xfId="0" applyNumberFormat="1" applyFont="1" applyBorder="1"/>
    <xf numFmtId="10" fontId="18" fillId="0" borderId="0" xfId="0" applyNumberFormat="1" applyFont="1" applyAlignment="1">
      <alignment horizontal="right"/>
    </xf>
    <xf numFmtId="8" fontId="20" fillId="0" borderId="0" xfId="0" applyNumberFormat="1" applyFont="1"/>
    <xf numFmtId="0" fontId="23" fillId="0" borderId="34" xfId="0" applyFont="1" applyBorder="1" applyAlignment="1">
      <alignment horizontal="center"/>
    </xf>
    <xf numFmtId="0" fontId="18" fillId="0" borderId="0" xfId="0" applyFont="1" applyAlignment="1">
      <alignment vertical="top" wrapText="1"/>
    </xf>
    <xf numFmtId="0" fontId="23" fillId="0" borderId="0" xfId="0" applyFont="1" applyAlignment="1">
      <alignment horizontal="center" vertical="center"/>
    </xf>
    <xf numFmtId="0" fontId="21" fillId="0" borderId="0" xfId="0" applyFont="1"/>
    <xf numFmtId="0" fontId="18" fillId="0" borderId="10" xfId="0" applyFont="1" applyBorder="1" applyAlignment="1">
      <alignment horizontal="center"/>
    </xf>
    <xf numFmtId="0" fontId="18" fillId="0" borderId="7" xfId="0" applyFont="1" applyBorder="1" applyAlignment="1">
      <alignment horizontal="center"/>
    </xf>
    <xf numFmtId="4" fontId="18" fillId="0" borderId="1" xfId="0" applyNumberFormat="1" applyFont="1" applyBorder="1" applyAlignment="1">
      <alignment horizontal="center"/>
    </xf>
    <xf numFmtId="42" fontId="18" fillId="0" borderId="1" xfId="0" applyNumberFormat="1" applyFont="1" applyBorder="1" applyAlignment="1">
      <alignment horizontal="center"/>
    </xf>
    <xf numFmtId="42" fontId="18" fillId="0" borderId="1" xfId="0" applyNumberFormat="1" applyFont="1" applyBorder="1"/>
    <xf numFmtId="49" fontId="18" fillId="0" borderId="0" xfId="0" quotePrefix="1" applyNumberFormat="1" applyFont="1" applyAlignment="1">
      <alignment horizontal="center"/>
    </xf>
    <xf numFmtId="4" fontId="18" fillId="0" borderId="0" xfId="0" applyNumberFormat="1" applyFont="1"/>
    <xf numFmtId="42" fontId="18" fillId="0" borderId="0" xfId="0" applyNumberFormat="1" applyFont="1" applyAlignment="1">
      <alignment horizontal="center"/>
    </xf>
    <xf numFmtId="42" fontId="18" fillId="0" borderId="0" xfId="0" applyNumberFormat="1" applyFont="1"/>
    <xf numFmtId="0" fontId="8" fillId="0" borderId="14" xfId="0" applyFont="1" applyBorder="1" applyAlignment="1">
      <alignment horizontal="center" wrapText="1"/>
    </xf>
    <xf numFmtId="0" fontId="18" fillId="0" borderId="1" xfId="0" applyFont="1" applyBorder="1" applyAlignment="1">
      <alignment horizontal="center" vertical="center"/>
    </xf>
    <xf numFmtId="16" fontId="10" fillId="0" borderId="1" xfId="0" quotePrefix="1" applyNumberFormat="1" applyFont="1" applyBorder="1" applyAlignment="1">
      <alignment horizontal="center" vertical="center"/>
    </xf>
    <xf numFmtId="2" fontId="18" fillId="0" borderId="0" xfId="0" applyNumberFormat="1" applyFont="1"/>
    <xf numFmtId="9" fontId="18" fillId="0" borderId="1" xfId="3" applyFont="1" applyFill="1" applyBorder="1" applyAlignment="1" applyProtection="1">
      <alignment horizontal="center"/>
    </xf>
    <xf numFmtId="49" fontId="18" fillId="0" borderId="0" xfId="3" applyNumberFormat="1" applyFont="1" applyFill="1" applyBorder="1" applyProtection="1"/>
    <xf numFmtId="42" fontId="18" fillId="0" borderId="1" xfId="0" applyNumberFormat="1" applyFont="1" applyBorder="1" applyAlignment="1">
      <alignment horizontal="left" wrapText="1"/>
    </xf>
    <xf numFmtId="0" fontId="18" fillId="0" borderId="0" xfId="0" applyFont="1" applyAlignment="1">
      <alignment wrapText="1"/>
    </xf>
    <xf numFmtId="42" fontId="18" fillId="0" borderId="42" xfId="0" applyNumberFormat="1" applyFont="1" applyBorder="1" applyAlignment="1">
      <alignment horizontal="left" wrapText="1"/>
    </xf>
    <xf numFmtId="42" fontId="18" fillId="0" borderId="48" xfId="0" applyNumberFormat="1" applyFont="1" applyBorder="1" applyAlignment="1">
      <alignment horizontal="left" wrapText="1"/>
    </xf>
    <xf numFmtId="0" fontId="18" fillId="6" borderId="1" xfId="0" applyFont="1" applyFill="1" applyBorder="1" applyProtection="1">
      <protection locked="0"/>
    </xf>
    <xf numFmtId="10" fontId="18" fillId="0" borderId="1" xfId="3" applyNumberFormat="1" applyFont="1" applyBorder="1" applyAlignment="1" applyProtection="1">
      <alignment horizontal="center" wrapText="1"/>
    </xf>
    <xf numFmtId="10" fontId="18" fillId="0" borderId="42" xfId="3" applyNumberFormat="1" applyFont="1" applyBorder="1" applyAlignment="1" applyProtection="1">
      <alignment horizontal="center" wrapText="1"/>
    </xf>
    <xf numFmtId="0" fontId="4" fillId="0" borderId="5" xfId="0" applyFont="1" applyBorder="1" applyAlignment="1">
      <alignment horizontal="left" wrapText="1"/>
    </xf>
    <xf numFmtId="0" fontId="17" fillId="0" borderId="2" xfId="0" applyFont="1" applyBorder="1" applyAlignment="1">
      <alignment horizontal="center"/>
    </xf>
    <xf numFmtId="0" fontId="17" fillId="0" borderId="0" xfId="0" applyFont="1" applyAlignment="1">
      <alignment horizontal="center" wrapText="1"/>
    </xf>
    <xf numFmtId="0" fontId="17" fillId="0" borderId="54" xfId="0" applyFont="1" applyBorder="1" applyAlignment="1">
      <alignment horizontal="center"/>
    </xf>
    <xf numFmtId="10" fontId="17" fillId="0" borderId="53" xfId="3" applyNumberFormat="1" applyFont="1" applyFill="1" applyBorder="1" applyAlignment="1" applyProtection="1">
      <alignment horizontal="center"/>
      <protection locked="0"/>
    </xf>
    <xf numFmtId="10" fontId="10" fillId="0" borderId="0" xfId="3" applyNumberFormat="1" applyFont="1" applyBorder="1" applyAlignment="1">
      <alignment horizontal="center" wrapText="1"/>
    </xf>
    <xf numFmtId="10" fontId="10" fillId="0" borderId="27" xfId="3" applyNumberFormat="1" applyFont="1" applyBorder="1" applyAlignment="1">
      <alignment horizontal="center"/>
    </xf>
    <xf numFmtId="10" fontId="10" fillId="0" borderId="51" xfId="3" applyNumberFormat="1" applyFont="1" applyBorder="1" applyAlignment="1">
      <alignment horizontal="center"/>
    </xf>
    <xf numFmtId="10" fontId="10" fillId="0" borderId="28" xfId="3" applyNumberFormat="1" applyFont="1" applyFill="1" applyBorder="1" applyAlignment="1" applyProtection="1">
      <alignment horizontal="center"/>
      <protection locked="0"/>
    </xf>
    <xf numFmtId="10" fontId="20" fillId="0" borderId="1" xfId="3" quotePrefix="1" applyNumberFormat="1" applyFont="1" applyFill="1" applyBorder="1" applyAlignment="1" applyProtection="1">
      <alignment horizontal="right"/>
    </xf>
    <xf numFmtId="16" fontId="18" fillId="0" borderId="2" xfId="0" applyNumberFormat="1" applyFont="1" applyBorder="1" applyAlignment="1">
      <alignment horizontal="center" wrapText="1"/>
    </xf>
    <xf numFmtId="16" fontId="20" fillId="0" borderId="2" xfId="0" applyNumberFormat="1" applyFont="1" applyBorder="1" applyAlignment="1">
      <alignment horizontal="center" wrapText="1"/>
    </xf>
    <xf numFmtId="16" fontId="20" fillId="0" borderId="53" xfId="0" applyNumberFormat="1" applyFont="1" applyBorder="1" applyAlignment="1">
      <alignment horizontal="center" wrapText="1"/>
    </xf>
    <xf numFmtId="41" fontId="18" fillId="0" borderId="0" xfId="3" applyNumberFormat="1" applyFont="1" applyBorder="1" applyAlignment="1" applyProtection="1">
      <alignment horizontal="center" wrapText="1"/>
    </xf>
    <xf numFmtId="167" fontId="18" fillId="2" borderId="1" xfId="3" applyNumberFormat="1" applyFont="1" applyFill="1" applyBorder="1" applyAlignment="1" applyProtection="1">
      <alignment horizontal="right"/>
      <protection locked="0"/>
    </xf>
    <xf numFmtId="167" fontId="18" fillId="0" borderId="1" xfId="3" applyNumberFormat="1" applyFont="1" applyFill="1" applyBorder="1" applyAlignment="1" applyProtection="1">
      <alignment horizontal="right"/>
    </xf>
    <xf numFmtId="164" fontId="18" fillId="0" borderId="1" xfId="3" applyNumberFormat="1" applyFont="1" applyBorder="1" applyAlignment="1" applyProtection="1">
      <alignment horizontal="right" wrapText="1"/>
    </xf>
    <xf numFmtId="42" fontId="18" fillId="0" borderId="42" xfId="3" applyNumberFormat="1" applyFont="1" applyBorder="1" applyAlignment="1" applyProtection="1">
      <alignment horizontal="right" wrapText="1"/>
    </xf>
    <xf numFmtId="42" fontId="18" fillId="6" borderId="1" xfId="2" applyNumberFormat="1" applyFont="1" applyFill="1" applyBorder="1" applyAlignment="1" applyProtection="1">
      <alignment horizontal="right"/>
      <protection locked="0"/>
    </xf>
    <xf numFmtId="42" fontId="18" fillId="6" borderId="1" xfId="2" quotePrefix="1" applyNumberFormat="1" applyFont="1" applyFill="1" applyBorder="1" applyAlignment="1" applyProtection="1">
      <alignment horizontal="right"/>
      <protection locked="0"/>
    </xf>
    <xf numFmtId="167" fontId="18" fillId="8" borderId="1" xfId="0" quotePrefix="1" applyNumberFormat="1" applyFont="1" applyFill="1" applyBorder="1" applyAlignment="1" applyProtection="1">
      <alignment horizontal="right"/>
      <protection locked="0"/>
    </xf>
    <xf numFmtId="167" fontId="18" fillId="0" borderId="1" xfId="2" quotePrefix="1" applyNumberFormat="1" applyFont="1" applyFill="1" applyBorder="1" applyAlignment="1" applyProtection="1">
      <alignment horizontal="right"/>
    </xf>
    <xf numFmtId="167" fontId="18" fillId="0" borderId="1" xfId="2" applyNumberFormat="1" applyFont="1" applyFill="1" applyBorder="1" applyAlignment="1" applyProtection="1">
      <alignment horizontal="right"/>
    </xf>
    <xf numFmtId="167" fontId="20" fillId="0" borderId="1" xfId="2" quotePrefix="1" applyNumberFormat="1" applyFont="1" applyFill="1" applyBorder="1" applyAlignment="1" applyProtection="1">
      <alignment horizontal="right"/>
    </xf>
    <xf numFmtId="42" fontId="20" fillId="0" borderId="42" xfId="2" applyNumberFormat="1" applyFont="1" applyFill="1" applyBorder="1" applyAlignment="1" applyProtection="1">
      <alignment horizontal="right"/>
    </xf>
    <xf numFmtId="42" fontId="20" fillId="0" borderId="16" xfId="2" applyNumberFormat="1" applyFont="1" applyFill="1" applyBorder="1" applyAlignment="1" applyProtection="1">
      <alignment horizontal="right"/>
    </xf>
    <xf numFmtId="42" fontId="20" fillId="0" borderId="1" xfId="2" applyNumberFormat="1" applyFont="1" applyBorder="1" applyAlignment="1" applyProtection="1">
      <alignment horizontal="right"/>
    </xf>
    <xf numFmtId="41" fontId="18" fillId="0" borderId="1" xfId="2" applyNumberFormat="1" applyFont="1" applyFill="1" applyBorder="1" applyAlignment="1" applyProtection="1">
      <alignment horizontal="right"/>
    </xf>
    <xf numFmtId="41" fontId="18" fillId="2" borderId="1" xfId="2" applyNumberFormat="1" applyFont="1" applyFill="1" applyBorder="1" applyAlignment="1" applyProtection="1">
      <alignment horizontal="right"/>
      <protection locked="0"/>
    </xf>
    <xf numFmtId="41" fontId="18" fillId="2" borderId="15" xfId="2" applyNumberFormat="1" applyFont="1" applyFill="1" applyBorder="1" applyAlignment="1" applyProtection="1">
      <alignment horizontal="right"/>
      <protection locked="0"/>
    </xf>
    <xf numFmtId="41" fontId="18" fillId="8" borderId="15" xfId="2" applyNumberFormat="1" applyFont="1" applyFill="1" applyBorder="1" applyAlignment="1" applyProtection="1">
      <alignment horizontal="right"/>
      <protection locked="0"/>
    </xf>
    <xf numFmtId="41" fontId="18" fillId="8" borderId="1" xfId="2" applyNumberFormat="1" applyFont="1" applyFill="1" applyBorder="1" applyAlignment="1" applyProtection="1">
      <alignment horizontal="right"/>
      <protection locked="0"/>
    </xf>
    <xf numFmtId="41" fontId="20" fillId="0" borderId="15" xfId="2" applyNumberFormat="1" applyFont="1" applyFill="1" applyBorder="1" applyAlignment="1" applyProtection="1">
      <alignment horizontal="right"/>
    </xf>
    <xf numFmtId="41" fontId="20" fillId="0" borderId="1" xfId="2" applyNumberFormat="1" applyFont="1" applyFill="1" applyBorder="1" applyAlignment="1" applyProtection="1">
      <alignment horizontal="right"/>
    </xf>
    <xf numFmtId="41" fontId="18" fillId="5" borderId="1" xfId="2" applyNumberFormat="1" applyFont="1" applyFill="1" applyBorder="1" applyAlignment="1" applyProtection="1">
      <alignment horizontal="right"/>
    </xf>
    <xf numFmtId="41" fontId="18" fillId="5" borderId="15" xfId="2" applyNumberFormat="1" applyFont="1" applyFill="1" applyBorder="1" applyAlignment="1" applyProtection="1">
      <alignment horizontal="right"/>
    </xf>
    <xf numFmtId="41" fontId="20" fillId="5" borderId="15" xfId="2" applyNumberFormat="1" applyFont="1" applyFill="1" applyBorder="1" applyAlignment="1" applyProtection="1">
      <alignment horizontal="right"/>
    </xf>
    <xf numFmtId="167" fontId="20" fillId="0" borderId="1" xfId="0" applyNumberFormat="1" applyFont="1" applyBorder="1"/>
    <xf numFmtId="0" fontId="20" fillId="0" borderId="0" xfId="0" applyFont="1" applyAlignment="1">
      <alignment horizontal="left" wrapText="1"/>
    </xf>
    <xf numFmtId="10" fontId="20" fillId="0" borderId="1" xfId="0" applyNumberFormat="1" applyFont="1" applyBorder="1" applyAlignment="1">
      <alignment horizontal="center" wrapText="1"/>
    </xf>
    <xf numFmtId="167" fontId="20" fillId="0" borderId="15" xfId="0" applyNumberFormat="1" applyFont="1" applyBorder="1"/>
    <xf numFmtId="0" fontId="25" fillId="0" borderId="1" xfId="0" applyFont="1" applyBorder="1" applyAlignment="1">
      <alignment horizontal="center"/>
    </xf>
    <xf numFmtId="0" fontId="25" fillId="0" borderId="14" xfId="0" applyFont="1" applyBorder="1" applyAlignment="1">
      <alignment horizontal="center"/>
    </xf>
    <xf numFmtId="167" fontId="18" fillId="0" borderId="14" xfId="0" quotePrefix="1" applyNumberFormat="1" applyFont="1" applyBorder="1" applyAlignment="1">
      <alignment horizontal="center"/>
    </xf>
    <xf numFmtId="10" fontId="20" fillId="0" borderId="56" xfId="3" applyNumberFormat="1" applyFont="1" applyFill="1" applyBorder="1" applyAlignment="1" applyProtection="1">
      <alignment horizontal="center" vertical="center" wrapText="1"/>
    </xf>
    <xf numFmtId="167" fontId="18" fillId="0" borderId="1" xfId="0" applyNumberFormat="1" applyFont="1" applyBorder="1" applyAlignment="1">
      <alignment horizontal="left" wrapText="1"/>
    </xf>
    <xf numFmtId="167" fontId="18" fillId="0" borderId="1" xfId="0" applyNumberFormat="1" applyFont="1" applyBorder="1" applyAlignment="1">
      <alignment horizontal="center" wrapText="1"/>
    </xf>
    <xf numFmtId="167" fontId="20" fillId="0" borderId="1" xfId="0" applyNumberFormat="1" applyFont="1" applyBorder="1" applyAlignment="1">
      <alignment horizontal="left" wrapText="1"/>
    </xf>
    <xf numFmtId="167" fontId="20" fillId="0" borderId="1" xfId="0" applyNumberFormat="1" applyFont="1" applyBorder="1" applyAlignment="1">
      <alignment horizontal="center" wrapText="1"/>
    </xf>
    <xf numFmtId="49" fontId="18" fillId="0" borderId="5" xfId="0" applyNumberFormat="1" applyFont="1" applyBorder="1" applyAlignment="1">
      <alignment horizontal="left" vertical="top" wrapText="1"/>
    </xf>
    <xf numFmtId="49" fontId="18" fillId="0" borderId="0" xfId="0" applyNumberFormat="1" applyFont="1" applyAlignment="1">
      <alignment horizontal="left" vertical="top" wrapText="1"/>
    </xf>
    <xf numFmtId="0" fontId="44" fillId="0" borderId="0" xfId="0" applyFont="1" applyProtection="1">
      <protection locked="0"/>
    </xf>
    <xf numFmtId="0" fontId="45" fillId="0" borderId="0" xfId="0" applyFont="1" applyProtection="1">
      <protection locked="0"/>
    </xf>
    <xf numFmtId="0" fontId="44" fillId="0" borderId="0" xfId="0" applyFont="1" applyAlignment="1" applyProtection="1">
      <alignment horizontal="center"/>
      <protection locked="0"/>
    </xf>
    <xf numFmtId="4" fontId="45" fillId="0" borderId="0" xfId="0" applyNumberFormat="1" applyFont="1" applyProtection="1">
      <protection locked="0"/>
    </xf>
    <xf numFmtId="169" fontId="45" fillId="0" borderId="0" xfId="0" applyNumberFormat="1" applyFont="1" applyAlignment="1" applyProtection="1">
      <alignment horizontal="center"/>
      <protection locked="0"/>
    </xf>
    <xf numFmtId="44" fontId="45" fillId="0" borderId="0" xfId="0" applyNumberFormat="1" applyFont="1" applyProtection="1">
      <protection locked="0"/>
    </xf>
    <xf numFmtId="38" fontId="45" fillId="0" borderId="0" xfId="0" applyNumberFormat="1" applyFont="1" applyProtection="1">
      <protection locked="0"/>
    </xf>
    <xf numFmtId="37" fontId="45" fillId="0" borderId="0" xfId="0" applyNumberFormat="1" applyFont="1" applyProtection="1">
      <protection locked="0"/>
    </xf>
    <xf numFmtId="10" fontId="45" fillId="0" borderId="0" xfId="3" applyNumberFormat="1" applyFont="1" applyProtection="1">
      <protection locked="0"/>
    </xf>
    <xf numFmtId="42" fontId="45" fillId="0" borderId="0" xfId="0" applyNumberFormat="1" applyFont="1" applyProtection="1">
      <protection locked="0"/>
    </xf>
    <xf numFmtId="2" fontId="45" fillId="0" borderId="0" xfId="0" applyNumberFormat="1" applyFont="1" applyProtection="1">
      <protection locked="0"/>
    </xf>
    <xf numFmtId="0" fontId="45" fillId="0" borderId="5" xfId="0" applyFont="1" applyBorder="1" applyProtection="1">
      <protection locked="0"/>
    </xf>
    <xf numFmtId="165" fontId="45" fillId="0" borderId="0" xfId="3" applyNumberFormat="1" applyFont="1" applyProtection="1">
      <protection locked="0"/>
    </xf>
    <xf numFmtId="10" fontId="45" fillId="0" borderId="0" xfId="0" applyNumberFormat="1" applyFont="1" applyProtection="1">
      <protection locked="0"/>
    </xf>
    <xf numFmtId="0" fontId="45" fillId="0" borderId="0" xfId="0" applyFont="1" applyAlignment="1" applyProtection="1">
      <alignment horizontal="left"/>
      <protection locked="0"/>
    </xf>
    <xf numFmtId="170" fontId="45" fillId="0" borderId="0" xfId="3" applyNumberFormat="1" applyFont="1" applyBorder="1" applyProtection="1">
      <protection locked="0"/>
    </xf>
    <xf numFmtId="170" fontId="45" fillId="0" borderId="0" xfId="3" applyNumberFormat="1" applyFont="1" applyProtection="1">
      <protection locked="0"/>
    </xf>
    <xf numFmtId="170" fontId="45" fillId="0" borderId="0" xfId="0" applyNumberFormat="1" applyFont="1" applyProtection="1">
      <protection locked="0"/>
    </xf>
    <xf numFmtId="44" fontId="45" fillId="0" borderId="0" xfId="0" applyNumberFormat="1" applyFont="1" applyAlignment="1" applyProtection="1">
      <alignment horizontal="center"/>
      <protection locked="0"/>
    </xf>
    <xf numFmtId="0" fontId="46" fillId="0" borderId="0" xfId="0" applyFont="1" applyProtection="1">
      <protection locked="0"/>
    </xf>
    <xf numFmtId="44" fontId="46" fillId="0" borderId="0" xfId="0" applyNumberFormat="1" applyFont="1" applyAlignment="1" applyProtection="1">
      <alignment horizontal="center"/>
      <protection locked="0"/>
    </xf>
    <xf numFmtId="41" fontId="45" fillId="0" borderId="0" xfId="0" applyNumberFormat="1" applyFont="1" applyProtection="1">
      <protection locked="0"/>
    </xf>
    <xf numFmtId="9" fontId="45" fillId="0" borderId="0" xfId="3" applyFont="1" applyProtection="1">
      <protection locked="0"/>
    </xf>
    <xf numFmtId="166" fontId="45" fillId="0" borderId="0" xfId="3" applyNumberFormat="1" applyFont="1" applyProtection="1">
      <protection locked="0"/>
    </xf>
    <xf numFmtId="44" fontId="45" fillId="0" borderId="0" xfId="3" applyNumberFormat="1" applyFont="1" applyProtection="1">
      <protection locked="0"/>
    </xf>
    <xf numFmtId="0" fontId="48" fillId="0" borderId="0" xfId="0" quotePrefix="1" applyFont="1"/>
    <xf numFmtId="0" fontId="48" fillId="0" borderId="0" xfId="0" applyFont="1"/>
    <xf numFmtId="0" fontId="18" fillId="8" borderId="10" xfId="0" applyFont="1" applyFill="1" applyBorder="1" applyAlignment="1" applyProtection="1">
      <alignment horizontal="left" vertical="top" wrapText="1"/>
      <protection locked="0"/>
    </xf>
    <xf numFmtId="0" fontId="18" fillId="8" borderId="2" xfId="0" applyFont="1" applyFill="1" applyBorder="1" applyAlignment="1" applyProtection="1">
      <alignment horizontal="left" vertical="top" wrapText="1"/>
      <protection locked="0"/>
    </xf>
    <xf numFmtId="0" fontId="18" fillId="8" borderId="7" xfId="0" applyFont="1" applyFill="1" applyBorder="1" applyAlignment="1" applyProtection="1">
      <alignment horizontal="left" vertical="top" wrapText="1"/>
      <protection locked="0"/>
    </xf>
    <xf numFmtId="16" fontId="18" fillId="0" borderId="8" xfId="0" quotePrefix="1" applyNumberFormat="1" applyFont="1" applyBorder="1" applyAlignment="1">
      <alignment horizontal="center"/>
    </xf>
    <xf numFmtId="16" fontId="18" fillId="0" borderId="4" xfId="0" quotePrefix="1" applyNumberFormat="1" applyFont="1" applyBorder="1" applyAlignment="1">
      <alignment horizontal="center"/>
    </xf>
    <xf numFmtId="0" fontId="18" fillId="0" borderId="0" xfId="0" applyFont="1" applyAlignment="1">
      <alignment horizontal="left" vertical="center" wrapText="1"/>
    </xf>
    <xf numFmtId="16" fontId="20" fillId="0" borderId="17" xfId="0" applyNumberFormat="1" applyFont="1" applyBorder="1" applyAlignment="1">
      <alignment horizontal="center"/>
    </xf>
    <xf numFmtId="0" fontId="20" fillId="0" borderId="19" xfId="0" applyFont="1" applyBorder="1" applyAlignment="1">
      <alignment horizontal="center"/>
    </xf>
    <xf numFmtId="0" fontId="18" fillId="0" borderId="17" xfId="0" applyFont="1" applyBorder="1" applyAlignment="1">
      <alignment horizontal="left"/>
    </xf>
    <xf numFmtId="0" fontId="18" fillId="0" borderId="18" xfId="0" applyFont="1" applyBorder="1" applyAlignment="1">
      <alignment horizontal="left"/>
    </xf>
    <xf numFmtId="0" fontId="18" fillId="0" borderId="19" xfId="0" applyFont="1" applyBorder="1" applyAlignment="1">
      <alignment horizontal="left"/>
    </xf>
    <xf numFmtId="0" fontId="20" fillId="0" borderId="17" xfId="0" applyFont="1" applyBorder="1"/>
    <xf numFmtId="0" fontId="20" fillId="0" borderId="18" xfId="0" applyFont="1" applyBorder="1"/>
    <xf numFmtId="0" fontId="20" fillId="0" borderId="19" xfId="0" applyFont="1" applyBorder="1"/>
    <xf numFmtId="0" fontId="20" fillId="0" borderId="20" xfId="0" applyFont="1" applyBorder="1" applyAlignment="1">
      <alignment horizontal="center" wrapText="1"/>
    </xf>
    <xf numFmtId="0" fontId="20" fillId="0" borderId="26" xfId="0" applyFont="1" applyBorder="1" applyAlignment="1">
      <alignment horizontal="center" wrapText="1"/>
    </xf>
    <xf numFmtId="0" fontId="18" fillId="0" borderId="15" xfId="0" applyFont="1" applyBorder="1" applyAlignment="1">
      <alignment horizontal="right"/>
    </xf>
    <xf numFmtId="0" fontId="18" fillId="0" borderId="1" xfId="0" applyFont="1" applyBorder="1" applyAlignment="1">
      <alignment horizontal="right"/>
    </xf>
    <xf numFmtId="0" fontId="20" fillId="0" borderId="0" xfId="0" applyFont="1" applyAlignment="1">
      <alignment horizontal="left" wrapText="1"/>
    </xf>
    <xf numFmtId="0" fontId="18" fillId="0" borderId="17" xfId="0" quotePrefix="1" applyFont="1" applyBorder="1" applyAlignment="1">
      <alignment horizontal="left" wrapText="1"/>
    </xf>
    <xf numFmtId="0" fontId="18" fillId="0" borderId="18" xfId="0" quotePrefix="1" applyFont="1" applyBorder="1" applyAlignment="1">
      <alignment horizontal="left" wrapText="1"/>
    </xf>
    <xf numFmtId="0" fontId="18" fillId="0" borderId="19" xfId="0" quotePrefix="1" applyFont="1" applyBorder="1" applyAlignment="1">
      <alignment horizontal="left" wrapText="1"/>
    </xf>
    <xf numFmtId="1" fontId="18" fillId="0" borderId="49" xfId="0" quotePrefix="1" applyNumberFormat="1" applyFont="1" applyBorder="1" applyAlignment="1">
      <alignment horizontal="left" vertical="center" wrapText="1"/>
    </xf>
    <xf numFmtId="1" fontId="18" fillId="0" borderId="39" xfId="0" quotePrefix="1" applyNumberFormat="1" applyFont="1" applyBorder="1" applyAlignment="1">
      <alignment horizontal="left" vertical="center" wrapText="1"/>
    </xf>
    <xf numFmtId="1" fontId="18" fillId="0" borderId="50" xfId="0" quotePrefix="1" applyNumberFormat="1" applyFont="1" applyBorder="1" applyAlignment="1">
      <alignment horizontal="left" vertical="center" wrapText="1"/>
    </xf>
    <xf numFmtId="0" fontId="18" fillId="0" borderId="17" xfId="0" applyFont="1" applyBorder="1" applyAlignment="1">
      <alignment horizontal="left" vertical="center" wrapText="1"/>
    </xf>
    <xf numFmtId="0" fontId="18" fillId="0" borderId="18" xfId="0" applyFont="1" applyBorder="1" applyAlignment="1">
      <alignment horizontal="left" vertical="center" wrapText="1"/>
    </xf>
    <xf numFmtId="0" fontId="18" fillId="0" borderId="19" xfId="0" applyFont="1" applyBorder="1" applyAlignment="1">
      <alignment horizontal="left" vertical="center" wrapText="1"/>
    </xf>
    <xf numFmtId="0" fontId="8" fillId="6" borderId="10" xfId="0" applyFont="1" applyFill="1" applyBorder="1" applyAlignment="1" applyProtection="1">
      <alignment horizontal="left" wrapText="1"/>
      <protection locked="0"/>
    </xf>
    <xf numFmtId="0" fontId="8" fillId="6" borderId="2" xfId="0" applyFont="1" applyFill="1" applyBorder="1" applyAlignment="1" applyProtection="1">
      <alignment horizontal="left" wrapText="1"/>
      <protection locked="0"/>
    </xf>
    <xf numFmtId="0" fontId="8" fillId="6" borderId="7" xfId="0" applyFont="1" applyFill="1" applyBorder="1" applyAlignment="1" applyProtection="1">
      <alignment horizontal="left" wrapText="1"/>
      <protection locked="0"/>
    </xf>
    <xf numFmtId="0" fontId="8" fillId="6" borderId="14" xfId="0" applyFont="1" applyFill="1" applyBorder="1" applyAlignment="1" applyProtection="1">
      <alignment horizontal="left" wrapText="1"/>
      <protection locked="0"/>
    </xf>
    <xf numFmtId="0" fontId="8" fillId="6" borderId="12" xfId="0" applyFont="1" applyFill="1" applyBorder="1" applyAlignment="1" applyProtection="1">
      <alignment horizontal="left" wrapText="1"/>
      <protection locked="0"/>
    </xf>
    <xf numFmtId="0" fontId="8" fillId="6" borderId="11" xfId="0" applyFont="1" applyFill="1" applyBorder="1" applyAlignment="1" applyProtection="1">
      <alignment horizontal="left" wrapText="1"/>
      <protection locked="0"/>
    </xf>
    <xf numFmtId="0" fontId="20" fillId="0" borderId="17" xfId="0" applyFont="1" applyBorder="1" applyAlignment="1">
      <alignment horizontal="center" vertical="center"/>
    </xf>
    <xf numFmtId="0" fontId="20" fillId="0" borderId="55" xfId="0" applyFont="1" applyBorder="1" applyAlignment="1">
      <alignment horizontal="center" vertical="center"/>
    </xf>
    <xf numFmtId="49" fontId="20" fillId="0" borderId="0" xfId="0" quotePrefix="1" applyNumberFormat="1" applyFont="1" applyAlignment="1">
      <alignment horizontal="center"/>
    </xf>
    <xf numFmtId="1" fontId="8" fillId="6" borderId="8" xfId="0" quotePrefix="1" applyNumberFormat="1" applyFont="1" applyFill="1" applyBorder="1" applyAlignment="1" applyProtection="1">
      <alignment horizontal="center"/>
      <protection locked="0"/>
    </xf>
    <xf numFmtId="1" fontId="8" fillId="6" borderId="9" xfId="0" quotePrefix="1" applyNumberFormat="1" applyFont="1" applyFill="1" applyBorder="1" applyAlignment="1" applyProtection="1">
      <alignment horizontal="center"/>
      <protection locked="0"/>
    </xf>
    <xf numFmtId="1" fontId="8" fillId="6" borderId="4" xfId="0" quotePrefix="1" applyNumberFormat="1" applyFont="1" applyFill="1" applyBorder="1" applyAlignment="1" applyProtection="1">
      <alignment horizontal="center"/>
      <protection locked="0"/>
    </xf>
    <xf numFmtId="1" fontId="8" fillId="6" borderId="5" xfId="0" quotePrefix="1" applyNumberFormat="1" applyFont="1" applyFill="1" applyBorder="1" applyAlignment="1" applyProtection="1">
      <alignment horizontal="center"/>
      <protection locked="0"/>
    </xf>
    <xf numFmtId="1" fontId="8" fillId="6" borderId="0" xfId="0" quotePrefix="1" applyNumberFormat="1" applyFont="1" applyFill="1" applyAlignment="1" applyProtection="1">
      <alignment horizontal="center"/>
      <protection locked="0"/>
    </xf>
    <xf numFmtId="1" fontId="8" fillId="6" borderId="6" xfId="0" quotePrefix="1" applyNumberFormat="1" applyFont="1" applyFill="1" applyBorder="1" applyAlignment="1" applyProtection="1">
      <alignment horizontal="center"/>
      <protection locked="0"/>
    </xf>
    <xf numFmtId="1" fontId="8" fillId="6" borderId="10" xfId="0" quotePrefix="1" applyNumberFormat="1" applyFont="1" applyFill="1" applyBorder="1" applyAlignment="1" applyProtection="1">
      <alignment horizontal="center"/>
      <protection locked="0"/>
    </xf>
    <xf numFmtId="1" fontId="8" fillId="6" borderId="2" xfId="0" quotePrefix="1" applyNumberFormat="1" applyFont="1" applyFill="1" applyBorder="1" applyAlignment="1" applyProtection="1">
      <alignment horizontal="center"/>
      <protection locked="0"/>
    </xf>
    <xf numFmtId="1" fontId="8" fillId="6" borderId="7" xfId="0" quotePrefix="1" applyNumberFormat="1" applyFont="1" applyFill="1" applyBorder="1" applyAlignment="1" applyProtection="1">
      <alignment horizontal="center"/>
      <protection locked="0"/>
    </xf>
    <xf numFmtId="0" fontId="18" fillId="0" borderId="14" xfId="0" applyFont="1" applyBorder="1" applyAlignment="1">
      <alignment horizontal="center"/>
    </xf>
    <xf numFmtId="0" fontId="18" fillId="0" borderId="11" xfId="0" applyFont="1" applyBorder="1" applyAlignment="1">
      <alignment horizontal="center"/>
    </xf>
    <xf numFmtId="0" fontId="18" fillId="2" borderId="14" xfId="0" applyFont="1" applyFill="1" applyBorder="1" applyAlignment="1" applyProtection="1">
      <alignment horizontal="left" vertical="center"/>
      <protection locked="0"/>
    </xf>
    <xf numFmtId="0" fontId="18" fillId="2" borderId="12" xfId="0" applyFont="1" applyFill="1" applyBorder="1" applyAlignment="1" applyProtection="1">
      <alignment horizontal="left" vertical="center"/>
      <protection locked="0"/>
    </xf>
    <xf numFmtId="0" fontId="18" fillId="2" borderId="11" xfId="0" applyFont="1" applyFill="1" applyBorder="1" applyAlignment="1" applyProtection="1">
      <alignment horizontal="left" vertical="center"/>
      <protection locked="0"/>
    </xf>
    <xf numFmtId="0" fontId="10" fillId="0" borderId="14" xfId="0" applyFont="1" applyBorder="1" applyAlignment="1">
      <alignment horizontal="center"/>
    </xf>
    <xf numFmtId="0" fontId="10" fillId="0" borderId="11" xfId="0" applyFont="1" applyBorder="1" applyAlignment="1">
      <alignment horizontal="center"/>
    </xf>
    <xf numFmtId="0" fontId="18" fillId="2" borderId="10" xfId="0" applyFont="1" applyFill="1" applyBorder="1" applyAlignment="1" applyProtection="1">
      <alignment vertical="top" wrapText="1"/>
      <protection locked="0"/>
    </xf>
    <xf numFmtId="0" fontId="18" fillId="2" borderId="2" xfId="0" applyFont="1" applyFill="1" applyBorder="1" applyAlignment="1" applyProtection="1">
      <alignment vertical="top" wrapText="1"/>
      <protection locked="0"/>
    </xf>
    <xf numFmtId="0" fontId="18" fillId="2" borderId="7" xfId="0" applyFont="1" applyFill="1" applyBorder="1" applyAlignment="1" applyProtection="1">
      <alignment vertical="top" wrapText="1"/>
      <protection locked="0"/>
    </xf>
    <xf numFmtId="0" fontId="18" fillId="2" borderId="10" xfId="0" applyFont="1" applyFill="1" applyBorder="1" applyAlignment="1" applyProtection="1">
      <alignment horizontal="left" vertical="top" wrapText="1"/>
      <protection locked="0"/>
    </xf>
    <xf numFmtId="0" fontId="18" fillId="2" borderId="2" xfId="0" applyFont="1" applyFill="1" applyBorder="1" applyAlignment="1" applyProtection="1">
      <alignment horizontal="left" vertical="top" wrapText="1"/>
      <protection locked="0"/>
    </xf>
    <xf numFmtId="0" fontId="18" fillId="2" borderId="7" xfId="0" applyFont="1" applyFill="1" applyBorder="1" applyAlignment="1" applyProtection="1">
      <alignment horizontal="left" vertical="top" wrapText="1"/>
      <protection locked="0"/>
    </xf>
    <xf numFmtId="0" fontId="18" fillId="0" borderId="17" xfId="0" quotePrefix="1" applyFont="1" applyBorder="1" applyAlignment="1">
      <alignment horizontal="left"/>
    </xf>
    <xf numFmtId="0" fontId="18" fillId="0" borderId="18" xfId="0" quotePrefix="1" applyFont="1" applyBorder="1" applyAlignment="1">
      <alignment horizontal="left"/>
    </xf>
    <xf numFmtId="0" fontId="18" fillId="0" borderId="19" xfId="0" quotePrefix="1" applyFont="1" applyBorder="1" applyAlignment="1">
      <alignment horizontal="left"/>
    </xf>
    <xf numFmtId="0" fontId="19" fillId="2" borderId="14" xfId="0" applyFont="1" applyFill="1" applyBorder="1" applyAlignment="1" applyProtection="1">
      <alignment horizontal="center"/>
      <protection locked="0"/>
    </xf>
    <xf numFmtId="0" fontId="19" fillId="2" borderId="12" xfId="0" applyFont="1" applyFill="1" applyBorder="1" applyAlignment="1" applyProtection="1">
      <alignment horizontal="center"/>
      <protection locked="0"/>
    </xf>
    <xf numFmtId="0" fontId="19" fillId="2" borderId="11" xfId="0" applyFont="1" applyFill="1" applyBorder="1" applyAlignment="1" applyProtection="1">
      <alignment horizontal="center"/>
      <protection locked="0"/>
    </xf>
    <xf numFmtId="0" fontId="10" fillId="0" borderId="17"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3" fillId="0" borderId="14" xfId="0" applyFont="1" applyBorder="1" applyAlignment="1">
      <alignment horizontal="left"/>
    </xf>
    <xf numFmtId="0" fontId="3" fillId="0" borderId="12" xfId="0" applyFont="1" applyBorder="1" applyAlignment="1">
      <alignment horizontal="left"/>
    </xf>
    <xf numFmtId="0" fontId="3" fillId="0" borderId="11" xfId="0" applyFont="1" applyBorder="1" applyAlignment="1">
      <alignment horizontal="left"/>
    </xf>
    <xf numFmtId="0" fontId="18" fillId="2" borderId="14" xfId="0" applyFont="1" applyFill="1" applyBorder="1" applyAlignment="1" applyProtection="1">
      <alignment horizontal="center" vertical="top"/>
      <protection locked="0"/>
    </xf>
    <xf numFmtId="0" fontId="18" fillId="2" borderId="12" xfId="0" applyFont="1" applyFill="1" applyBorder="1" applyAlignment="1" applyProtection="1">
      <alignment horizontal="center" vertical="top"/>
      <protection locked="0"/>
    </xf>
    <xf numFmtId="0" fontId="18" fillId="2" borderId="11" xfId="0" applyFont="1" applyFill="1" applyBorder="1" applyAlignment="1" applyProtection="1">
      <alignment horizontal="center" vertical="top"/>
      <protection locked="0"/>
    </xf>
    <xf numFmtId="16" fontId="20" fillId="0" borderId="1" xfId="0" quotePrefix="1" applyNumberFormat="1" applyFont="1" applyBorder="1" applyAlignment="1">
      <alignment horizontal="center"/>
    </xf>
    <xf numFmtId="0" fontId="18" fillId="0" borderId="0" xfId="0" quotePrefix="1" applyFont="1" applyAlignment="1">
      <alignment horizontal="left" vertical="center"/>
    </xf>
    <xf numFmtId="42" fontId="18" fillId="0" borderId="1" xfId="2" applyNumberFormat="1" applyFont="1" applyFill="1" applyBorder="1" applyAlignment="1" applyProtection="1">
      <alignment horizontal="right"/>
    </xf>
    <xf numFmtId="16" fontId="20" fillId="0" borderId="13" xfId="0" quotePrefix="1" applyNumberFormat="1" applyFont="1" applyBorder="1" applyAlignment="1">
      <alignment horizontal="center"/>
    </xf>
    <xf numFmtId="16" fontId="20" fillId="0" borderId="13" xfId="0" applyNumberFormat="1" applyFont="1" applyBorder="1" applyAlignment="1">
      <alignment horizontal="center"/>
    </xf>
    <xf numFmtId="16" fontId="20" fillId="0" borderId="1" xfId="0" applyNumberFormat="1" applyFont="1" applyBorder="1" applyAlignment="1">
      <alignment horizontal="center"/>
    </xf>
    <xf numFmtId="0" fontId="20" fillId="6" borderId="13" xfId="0" applyFont="1" applyFill="1" applyBorder="1" applyAlignment="1" applyProtection="1">
      <alignment horizontal="center" vertical="center"/>
      <protection locked="0"/>
    </xf>
    <xf numFmtId="0" fontId="20" fillId="6" borderId="15" xfId="0" applyFont="1" applyFill="1" applyBorder="1" applyAlignment="1" applyProtection="1">
      <alignment horizontal="center" vertical="center"/>
      <protection locked="0"/>
    </xf>
    <xf numFmtId="0" fontId="20" fillId="0" borderId="14"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left" wrapText="1"/>
    </xf>
    <xf numFmtId="0" fontId="18" fillId="0" borderId="8" xfId="0" applyFont="1" applyBorder="1" applyAlignment="1">
      <alignment horizontal="center"/>
    </xf>
    <xf numFmtId="0" fontId="18" fillId="0" borderId="4" xfId="0" applyFont="1" applyBorder="1" applyAlignment="1">
      <alignment horizontal="center"/>
    </xf>
    <xf numFmtId="49" fontId="18" fillId="0" borderId="8" xfId="0" quotePrefix="1" applyNumberFormat="1" applyFont="1" applyBorder="1" applyAlignment="1">
      <alignment horizontal="center"/>
    </xf>
    <xf numFmtId="49" fontId="18" fillId="0" borderId="4" xfId="0" quotePrefix="1" applyNumberFormat="1" applyFont="1" applyBorder="1" applyAlignment="1">
      <alignment horizontal="center"/>
    </xf>
    <xf numFmtId="0" fontId="18" fillId="0" borderId="0" xfId="0" applyFont="1" applyAlignment="1">
      <alignment horizontal="right"/>
    </xf>
    <xf numFmtId="49" fontId="18" fillId="9" borderId="14" xfId="0" applyNumberFormat="1" applyFont="1" applyFill="1" applyBorder="1" applyAlignment="1" applyProtection="1">
      <alignment horizontal="center"/>
      <protection locked="0"/>
    </xf>
    <xf numFmtId="49" fontId="18" fillId="9" borderId="12" xfId="0" applyNumberFormat="1" applyFont="1" applyFill="1" applyBorder="1" applyAlignment="1" applyProtection="1">
      <alignment horizontal="center"/>
      <protection locked="0"/>
    </xf>
    <xf numFmtId="49" fontId="18" fillId="9" borderId="11" xfId="0" applyNumberFormat="1" applyFont="1" applyFill="1" applyBorder="1" applyAlignment="1" applyProtection="1">
      <alignment horizontal="center"/>
      <protection locked="0"/>
    </xf>
    <xf numFmtId="0" fontId="12" fillId="0" borderId="14" xfId="0" applyFont="1" applyBorder="1"/>
    <xf numFmtId="0" fontId="12" fillId="0" borderId="11" xfId="0" applyFont="1" applyBorder="1"/>
    <xf numFmtId="0" fontId="18" fillId="0" borderId="6" xfId="0" applyFont="1" applyBorder="1" applyAlignment="1">
      <alignment horizontal="right"/>
    </xf>
    <xf numFmtId="0" fontId="25" fillId="12" borderId="0" xfId="0" applyFont="1" applyFill="1" applyAlignment="1">
      <alignment wrapText="1"/>
    </xf>
    <xf numFmtId="0" fontId="20" fillId="0" borderId="17" xfId="0" applyFont="1" applyBorder="1" applyAlignment="1">
      <alignment horizontal="center"/>
    </xf>
    <xf numFmtId="0" fontId="20" fillId="0" borderId="18" xfId="0" applyFont="1" applyBorder="1" applyAlignment="1">
      <alignment horizontal="center"/>
    </xf>
    <xf numFmtId="49" fontId="18" fillId="2" borderId="5" xfId="0" applyNumberFormat="1" applyFont="1" applyFill="1" applyBorder="1" applyAlignment="1" applyProtection="1">
      <alignment horizontal="left" vertical="top" wrapText="1"/>
      <protection locked="0"/>
    </xf>
    <xf numFmtId="49" fontId="18" fillId="2" borderId="0" xfId="0" applyNumberFormat="1" applyFont="1" applyFill="1" applyAlignment="1" applyProtection="1">
      <alignment horizontal="left" vertical="top" wrapText="1"/>
      <protection locked="0"/>
    </xf>
    <xf numFmtId="49" fontId="18" fillId="2" borderId="6" xfId="0" applyNumberFormat="1" applyFont="1" applyFill="1" applyBorder="1" applyAlignment="1" applyProtection="1">
      <alignment horizontal="left" vertical="top" wrapText="1"/>
      <protection locked="0"/>
    </xf>
    <xf numFmtId="49" fontId="18" fillId="2" borderId="10" xfId="0" applyNumberFormat="1" applyFont="1" applyFill="1" applyBorder="1" applyAlignment="1" applyProtection="1">
      <alignment horizontal="left" vertical="top" wrapText="1"/>
      <protection locked="0"/>
    </xf>
    <xf numFmtId="49" fontId="18" fillId="2" borderId="2" xfId="0" applyNumberFormat="1" applyFont="1" applyFill="1" applyBorder="1" applyAlignment="1" applyProtection="1">
      <alignment horizontal="left" vertical="top" wrapText="1"/>
      <protection locked="0"/>
    </xf>
    <xf numFmtId="49" fontId="18" fillId="2" borderId="7" xfId="0" applyNumberFormat="1" applyFont="1" applyFill="1" applyBorder="1" applyAlignment="1" applyProtection="1">
      <alignment horizontal="left" vertical="top" wrapText="1"/>
      <protection locked="0"/>
    </xf>
    <xf numFmtId="0" fontId="18" fillId="0" borderId="17"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10" fontId="18" fillId="0" borderId="20" xfId="3" applyNumberFormat="1" applyFont="1" applyFill="1" applyBorder="1" applyAlignment="1">
      <alignment horizontal="left" vertical="center"/>
    </xf>
    <xf numFmtId="10" fontId="18" fillId="0" borderId="21" xfId="3" applyNumberFormat="1" applyFont="1" applyFill="1" applyBorder="1" applyAlignment="1">
      <alignment horizontal="left" vertical="center"/>
    </xf>
    <xf numFmtId="49" fontId="18" fillId="2" borderId="15" xfId="0" applyNumberFormat="1" applyFont="1" applyFill="1" applyBorder="1" applyAlignment="1" applyProtection="1">
      <alignment horizontal="left" vertical="top" wrapText="1"/>
      <protection locked="0"/>
    </xf>
    <xf numFmtId="49" fontId="18" fillId="2" borderId="1" xfId="0" applyNumberFormat="1" applyFont="1" applyFill="1" applyBorder="1" applyAlignment="1" applyProtection="1">
      <alignment horizontal="left" vertical="top" wrapText="1"/>
      <protection locked="0"/>
    </xf>
    <xf numFmtId="0" fontId="32" fillId="9" borderId="14" xfId="4" applyFill="1" applyBorder="1" applyAlignment="1" applyProtection="1">
      <alignment horizontal="center"/>
      <protection locked="0"/>
    </xf>
    <xf numFmtId="0" fontId="4" fillId="9" borderId="12" xfId="0" applyFont="1" applyFill="1" applyBorder="1" applyAlignment="1" applyProtection="1">
      <alignment horizontal="center"/>
      <protection locked="0"/>
    </xf>
    <xf numFmtId="0" fontId="4" fillId="9" borderId="11" xfId="0" applyFont="1" applyFill="1" applyBorder="1" applyAlignment="1" applyProtection="1">
      <alignment horizontal="center"/>
      <protection locked="0"/>
    </xf>
    <xf numFmtId="0" fontId="20" fillId="0" borderId="19" xfId="0" applyFont="1" applyBorder="1" applyAlignment="1">
      <alignment horizontal="center" vertical="center"/>
    </xf>
    <xf numFmtId="49" fontId="18" fillId="8" borderId="10" xfId="0" applyNumberFormat="1" applyFont="1" applyFill="1" applyBorder="1" applyAlignment="1" applyProtection="1">
      <alignment horizontal="left" vertical="top" wrapText="1"/>
      <protection locked="0"/>
    </xf>
    <xf numFmtId="49" fontId="20" fillId="8" borderId="2" xfId="0" applyNumberFormat="1" applyFont="1" applyFill="1" applyBorder="1" applyAlignment="1" applyProtection="1">
      <alignment horizontal="left" vertical="top" wrapText="1"/>
      <protection locked="0"/>
    </xf>
    <xf numFmtId="49" fontId="20" fillId="8" borderId="7" xfId="0" applyNumberFormat="1" applyFont="1" applyFill="1" applyBorder="1" applyAlignment="1" applyProtection="1">
      <alignment horizontal="left" vertical="top" wrapText="1"/>
      <protection locked="0"/>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2" fillId="0" borderId="0" xfId="0" applyFont="1" applyAlignment="1">
      <alignment horizontal="left" vertical="center" wrapText="1"/>
    </xf>
    <xf numFmtId="0" fontId="3" fillId="0" borderId="0" xfId="0" applyFont="1" applyAlignment="1">
      <alignment horizontal="center"/>
    </xf>
    <xf numFmtId="49" fontId="18" fillId="9" borderId="12" xfId="0" applyNumberFormat="1" applyFont="1" applyFill="1" applyBorder="1" applyProtection="1">
      <protection locked="0"/>
    </xf>
    <xf numFmtId="49" fontId="18" fillId="9" borderId="11" xfId="0" applyNumberFormat="1" applyFont="1" applyFill="1" applyBorder="1" applyProtection="1">
      <protection locked="0"/>
    </xf>
    <xf numFmtId="0" fontId="4" fillId="8" borderId="0" xfId="0" applyFont="1" applyFill="1" applyAlignment="1" applyProtection="1">
      <alignment horizontal="left" vertical="center" wrapText="1"/>
      <protection locked="0"/>
    </xf>
    <xf numFmtId="49" fontId="18" fillId="7" borderId="10" xfId="0" applyNumberFormat="1" applyFont="1" applyFill="1" applyBorder="1" applyAlignment="1" applyProtection="1">
      <alignment horizontal="left" vertical="top" wrapText="1"/>
      <protection locked="0"/>
    </xf>
    <xf numFmtId="49" fontId="18" fillId="7" borderId="2" xfId="0" applyNumberFormat="1" applyFont="1" applyFill="1" applyBorder="1" applyAlignment="1" applyProtection="1">
      <alignment horizontal="left" vertical="top" wrapText="1"/>
      <protection locked="0"/>
    </xf>
    <xf numFmtId="49" fontId="18" fillId="7" borderId="7" xfId="0" applyNumberFormat="1" applyFont="1" applyFill="1" applyBorder="1" applyAlignment="1" applyProtection="1">
      <alignment horizontal="left" vertical="top" wrapText="1"/>
      <protection locked="0"/>
    </xf>
    <xf numFmtId="49" fontId="18" fillId="8" borderId="2" xfId="0" applyNumberFormat="1" applyFont="1" applyFill="1" applyBorder="1" applyAlignment="1" applyProtection="1">
      <alignment horizontal="left" vertical="top" wrapText="1"/>
      <protection locked="0"/>
    </xf>
    <xf numFmtId="49" fontId="18" fillId="8" borderId="7" xfId="0" applyNumberFormat="1" applyFont="1" applyFill="1" applyBorder="1" applyAlignment="1" applyProtection="1">
      <alignment horizontal="left" vertical="top" wrapText="1"/>
      <protection locked="0"/>
    </xf>
    <xf numFmtId="0" fontId="10" fillId="0" borderId="0" xfId="0" applyFont="1" applyAlignment="1">
      <alignment horizontal="right"/>
    </xf>
    <xf numFmtId="0" fontId="20" fillId="0" borderId="0" xfId="0" applyFont="1" applyAlignment="1">
      <alignment horizontal="right"/>
    </xf>
    <xf numFmtId="0" fontId="20" fillId="0" borderId="6" xfId="0" applyFont="1" applyBorder="1" applyAlignment="1">
      <alignment horizontal="right"/>
    </xf>
    <xf numFmtId="0" fontId="20" fillId="0" borderId="0" xfId="0" applyFont="1" applyAlignment="1">
      <alignment vertical="center"/>
    </xf>
    <xf numFmtId="49" fontId="18" fillId="6" borderId="10" xfId="0" applyNumberFormat="1" applyFont="1" applyFill="1" applyBorder="1" applyAlignment="1" applyProtection="1">
      <alignment horizontal="left" vertical="top" wrapText="1"/>
      <protection locked="0"/>
    </xf>
    <xf numFmtId="49" fontId="18" fillId="6" borderId="2" xfId="0" applyNumberFormat="1" applyFont="1" applyFill="1" applyBorder="1" applyAlignment="1" applyProtection="1">
      <alignment horizontal="left" vertical="top" wrapText="1"/>
      <protection locked="0"/>
    </xf>
    <xf numFmtId="49" fontId="18" fillId="6" borderId="7" xfId="0" applyNumberFormat="1" applyFont="1" applyFill="1" applyBorder="1" applyAlignment="1" applyProtection="1">
      <alignment horizontal="left" vertical="top" wrapText="1"/>
      <protection locked="0"/>
    </xf>
    <xf numFmtId="0" fontId="12" fillId="0" borderId="0" xfId="0" applyFont="1" applyAlignment="1">
      <alignment vertical="center"/>
    </xf>
    <xf numFmtId="0" fontId="12" fillId="0" borderId="0" xfId="0" applyFont="1" applyAlignment="1">
      <alignment vertical="top" wrapText="1"/>
    </xf>
    <xf numFmtId="0" fontId="18" fillId="0" borderId="17" xfId="0" applyFont="1" applyBorder="1" applyAlignment="1">
      <alignment horizontal="left" vertical="top" wrapText="1"/>
    </xf>
    <xf numFmtId="0" fontId="18" fillId="0" borderId="19" xfId="0" applyFont="1" applyBorder="1" applyAlignment="1">
      <alignment horizontal="left" vertical="top" wrapText="1"/>
    </xf>
    <xf numFmtId="49" fontId="18" fillId="8" borderId="5" xfId="0" applyNumberFormat="1" applyFont="1" applyFill="1" applyBorder="1" applyAlignment="1" applyProtection="1">
      <alignment horizontal="left" vertical="top" wrapText="1"/>
      <protection locked="0"/>
    </xf>
    <xf numFmtId="49" fontId="18" fillId="8" borderId="6" xfId="0" applyNumberFormat="1" applyFont="1" applyFill="1" applyBorder="1" applyAlignment="1" applyProtection="1">
      <alignment horizontal="left" vertical="top" wrapText="1"/>
      <protection locked="0"/>
    </xf>
    <xf numFmtId="0" fontId="18" fillId="0" borderId="0" xfId="0" applyFont="1" applyAlignment="1">
      <alignment horizontal="left" vertical="center" wrapText="1" indent="2"/>
    </xf>
    <xf numFmtId="0" fontId="18" fillId="0" borderId="6" xfId="0" applyFont="1" applyBorder="1" applyAlignment="1">
      <alignment horizontal="left" vertical="center" wrapText="1" indent="2"/>
    </xf>
    <xf numFmtId="0" fontId="18" fillId="0" borderId="0" xfId="0" applyFont="1" applyAlignment="1">
      <alignment horizontal="left" wrapText="1"/>
    </xf>
    <xf numFmtId="0" fontId="20" fillId="0" borderId="0" xfId="0" applyFont="1" applyAlignment="1">
      <alignment horizontal="left" vertical="top" wrapText="1"/>
    </xf>
    <xf numFmtId="0" fontId="20" fillId="0" borderId="22" xfId="0" applyFont="1" applyBorder="1" applyAlignment="1">
      <alignment horizontal="left" vertical="top" wrapText="1"/>
    </xf>
    <xf numFmtId="16" fontId="20" fillId="0" borderId="0" xfId="0" quotePrefix="1" applyNumberFormat="1" applyFont="1" applyAlignment="1">
      <alignment horizontal="center"/>
    </xf>
    <xf numFmtId="0" fontId="20" fillId="0" borderId="0" xfId="0" applyFont="1" applyAlignment="1">
      <alignment vertical="center" wrapText="1"/>
    </xf>
    <xf numFmtId="0" fontId="20" fillId="0" borderId="22" xfId="0" applyFont="1" applyBorder="1" applyAlignment="1">
      <alignment vertical="center" wrapText="1"/>
    </xf>
    <xf numFmtId="0" fontId="4" fillId="9" borderId="14" xfId="0" applyFont="1" applyFill="1" applyBorder="1" applyAlignment="1" applyProtection="1">
      <alignment horizontal="center"/>
      <protection locked="0"/>
    </xf>
    <xf numFmtId="0" fontId="10" fillId="0" borderId="49" xfId="0" applyFont="1" applyBorder="1" applyAlignment="1" applyProtection="1">
      <alignment horizontal="center"/>
      <protection locked="0"/>
    </xf>
    <xf numFmtId="0" fontId="10" fillId="0" borderId="39" xfId="0" applyFont="1" applyBorder="1" applyAlignment="1" applyProtection="1">
      <alignment horizontal="center"/>
      <protection locked="0"/>
    </xf>
    <xf numFmtId="0" fontId="10" fillId="0" borderId="50" xfId="0" applyFont="1" applyBorder="1" applyAlignment="1" applyProtection="1">
      <alignment horizontal="center"/>
      <protection locked="0"/>
    </xf>
    <xf numFmtId="14" fontId="4" fillId="9" borderId="14" xfId="0" applyNumberFormat="1" applyFont="1" applyFill="1" applyBorder="1" applyAlignment="1" applyProtection="1">
      <alignment horizontal="center"/>
      <protection locked="0"/>
    </xf>
    <xf numFmtId="49" fontId="18" fillId="8" borderId="0" xfId="0" applyNumberFormat="1" applyFont="1" applyFill="1" applyAlignment="1" applyProtection="1">
      <alignment horizontal="left" vertical="top" wrapText="1"/>
      <protection locked="0"/>
    </xf>
    <xf numFmtId="0" fontId="20" fillId="0" borderId="1" xfId="0" quotePrefix="1" applyFont="1" applyBorder="1" applyAlignment="1">
      <alignment horizontal="center"/>
    </xf>
    <xf numFmtId="49" fontId="18" fillId="2" borderId="10" xfId="0" quotePrefix="1" applyNumberFormat="1" applyFont="1" applyFill="1" applyBorder="1" applyAlignment="1" applyProtection="1">
      <alignment horizontal="left" vertical="top" wrapText="1"/>
      <protection locked="0"/>
    </xf>
    <xf numFmtId="49" fontId="18" fillId="2" borderId="2" xfId="0" quotePrefix="1" applyNumberFormat="1" applyFont="1" applyFill="1" applyBorder="1" applyAlignment="1" applyProtection="1">
      <alignment horizontal="left" vertical="top" wrapText="1"/>
      <protection locked="0"/>
    </xf>
    <xf numFmtId="49" fontId="18" fillId="2" borderId="7" xfId="0" quotePrefix="1" applyNumberFormat="1" applyFont="1" applyFill="1" applyBorder="1" applyAlignment="1" applyProtection="1">
      <alignment horizontal="left" vertical="top" wrapText="1"/>
      <protection locked="0"/>
    </xf>
  </cellXfs>
  <cellStyles count="5">
    <cellStyle name="Comma" xfId="1" builtinId="3"/>
    <cellStyle name="Currency" xfId="2" builtinId="4"/>
    <cellStyle name="Hyperlink" xfId="4" builtinId="8"/>
    <cellStyle name="Normal" xfId="0" builtinId="0"/>
    <cellStyle name="Percent" xfId="3" builtinId="5"/>
  </cellStyles>
  <dxfs count="94">
    <dxf>
      <font>
        <b/>
        <i val="0"/>
      </font>
    </dxf>
    <dxf>
      <font>
        <b/>
        <i val="0"/>
      </font>
    </dxf>
    <dxf>
      <font>
        <b/>
        <i val="0"/>
      </font>
      <fill>
        <patternFill>
          <bgColor rgb="FF92D050"/>
        </patternFill>
      </fill>
    </dxf>
    <dxf>
      <font>
        <b/>
        <i val="0"/>
      </font>
      <fill>
        <patternFill>
          <bgColor rgb="FFFFFF99"/>
        </patternFill>
      </fill>
    </dxf>
    <dxf>
      <font>
        <b/>
        <i val="0"/>
      </font>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patternType="solid">
          <bgColor rgb="FF92D050"/>
        </patternFill>
      </fill>
    </dxf>
    <dxf>
      <fill>
        <patternFill>
          <bgColor theme="5" tint="0.59996337778862885"/>
        </patternFill>
      </fill>
    </dxf>
    <dxf>
      <fill>
        <patternFill patternType="solid">
          <bgColor rgb="FF92D050"/>
        </patternFill>
      </fill>
    </dxf>
    <dxf>
      <fill>
        <patternFill>
          <bgColor theme="5" tint="0.59996337778862885"/>
        </patternFill>
      </fill>
    </dxf>
    <dxf>
      <fill>
        <patternFill>
          <bgColor theme="5" tint="0.59996337778862885"/>
        </patternFill>
      </fill>
    </dxf>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color theme="1"/>
      </font>
      <fill>
        <patternFill>
          <bgColor theme="5" tint="0.59996337778862885"/>
        </patternFill>
      </fill>
    </dxf>
    <dxf>
      <fill>
        <patternFill>
          <bgColor theme="5" tint="0.59996337778862885"/>
        </patternFill>
      </fill>
    </dxf>
    <dxf>
      <font>
        <b/>
        <i val="0"/>
        <color theme="1"/>
      </font>
      <fill>
        <patternFill>
          <bgColor theme="5" tint="0.59996337778862885"/>
        </patternFill>
      </fill>
    </dxf>
    <dxf>
      <font>
        <b/>
        <i val="0"/>
        <color theme="1"/>
      </font>
      <fill>
        <patternFill>
          <bgColor theme="5" tint="0.59996337778862885"/>
        </patternFill>
      </fill>
    </dxf>
    <dxf>
      <font>
        <b/>
        <i val="0"/>
        <color theme="1"/>
      </font>
      <fill>
        <patternFill>
          <bgColor theme="5" tint="0.59996337778862885"/>
        </patternFill>
      </fill>
    </dxf>
    <dxf>
      <fill>
        <patternFill>
          <bgColor theme="5" tint="0.59996337778862885"/>
        </patternFill>
      </fill>
    </dxf>
    <dxf>
      <font>
        <b/>
        <i val="0"/>
        <color theme="1"/>
      </font>
      <fill>
        <patternFill>
          <bgColor theme="5" tint="0.59996337778862885"/>
        </patternFill>
      </fill>
    </dxf>
    <dxf>
      <font>
        <b/>
        <i val="0"/>
        <color theme="1"/>
      </font>
      <fill>
        <patternFill>
          <bgColor theme="5" tint="0.59996337778862885"/>
        </patternFill>
      </fill>
    </dxf>
    <dxf>
      <font>
        <b/>
        <i val="0"/>
        <color theme="1"/>
      </font>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b/>
        <i val="0"/>
        <color rgb="FFFF0000"/>
      </font>
    </dxf>
    <dxf>
      <font>
        <b/>
        <i val="0"/>
        <color rgb="FFFF0000"/>
      </font>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rgb="FF92D050"/>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rgb="FF92D050"/>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FFFF"/>
      <color rgb="FFBDFF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ADA to Enrollment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'Graphs &amp; Charts'!$B$2</c:f>
              <c:strCache>
                <c:ptCount val="1"/>
                <c:pt idx="0">
                  <c:v>Enrollment</c:v>
                </c:pt>
              </c:strCache>
            </c:strRef>
          </c:tx>
          <c:spPr>
            <a:solidFill>
              <a:schemeClr val="accent1"/>
            </a:solidFill>
            <a:ln>
              <a:noFill/>
            </a:ln>
            <a:effectLst/>
          </c:spPr>
          <c:invertIfNegative val="0"/>
          <c:cat>
            <c:strRef>
              <c:f>'Graphs &amp; Charts'!$A$3:$A$9</c:f>
              <c:strCache>
                <c:ptCount val="7"/>
                <c:pt idx="0">
                  <c:v>2018-19</c:v>
                </c:pt>
                <c:pt idx="1">
                  <c:v>2019-20</c:v>
                </c:pt>
                <c:pt idx="2">
                  <c:v>2020-21</c:v>
                </c:pt>
                <c:pt idx="3">
                  <c:v>2021-22</c:v>
                </c:pt>
                <c:pt idx="4">
                  <c:v>2022-23</c:v>
                </c:pt>
                <c:pt idx="5">
                  <c:v>2023-24</c:v>
                </c:pt>
                <c:pt idx="6">
                  <c:v>2024-25</c:v>
                </c:pt>
              </c:strCache>
            </c:strRef>
          </c:cat>
          <c:val>
            <c:numRef>
              <c:f>'Graphs &amp; Charts'!$B$3:$B$9</c:f>
              <c:numCache>
                <c:formatCode>#,##0.00_);[Red]\(#,##0.00\)</c:formatCode>
                <c:ptCount val="7"/>
                <c:pt idx="0">
                  <c:v>0</c:v>
                </c:pt>
                <c:pt idx="1">
                  <c:v>3270</c:v>
                </c:pt>
                <c:pt idx="2">
                  <c:v>3285</c:v>
                </c:pt>
                <c:pt idx="3">
                  <c:v>3315</c:v>
                </c:pt>
                <c:pt idx="4">
                  <c:v>3548</c:v>
                </c:pt>
                <c:pt idx="5">
                  <c:v>3548</c:v>
                </c:pt>
                <c:pt idx="6">
                  <c:v>3548</c:v>
                </c:pt>
              </c:numCache>
            </c:numRef>
          </c:val>
          <c:extLst>
            <c:ext xmlns:c16="http://schemas.microsoft.com/office/drawing/2014/chart" uri="{C3380CC4-5D6E-409C-BE32-E72D297353CC}">
              <c16:uniqueId val="{00000000-1BA6-4A8B-9699-98932B936380}"/>
            </c:ext>
          </c:extLst>
        </c:ser>
        <c:ser>
          <c:idx val="1"/>
          <c:order val="1"/>
          <c:tx>
            <c:strRef>
              <c:f>'Graphs &amp; Charts'!$C$2</c:f>
              <c:strCache>
                <c:ptCount val="1"/>
                <c:pt idx="0">
                  <c:v>ADA</c:v>
                </c:pt>
              </c:strCache>
            </c:strRef>
          </c:tx>
          <c:spPr>
            <a:solidFill>
              <a:schemeClr val="accent3"/>
            </a:solidFill>
            <a:ln>
              <a:noFill/>
            </a:ln>
            <a:effectLst/>
          </c:spPr>
          <c:invertIfNegative val="0"/>
          <c:cat>
            <c:strRef>
              <c:f>'Graphs &amp; Charts'!$A$3:$A$9</c:f>
              <c:strCache>
                <c:ptCount val="7"/>
                <c:pt idx="0">
                  <c:v>2018-19</c:v>
                </c:pt>
                <c:pt idx="1">
                  <c:v>2019-20</c:v>
                </c:pt>
                <c:pt idx="2">
                  <c:v>2020-21</c:v>
                </c:pt>
                <c:pt idx="3">
                  <c:v>2021-22</c:v>
                </c:pt>
                <c:pt idx="4">
                  <c:v>2022-23</c:v>
                </c:pt>
                <c:pt idx="5">
                  <c:v>2023-24</c:v>
                </c:pt>
                <c:pt idx="6">
                  <c:v>2024-25</c:v>
                </c:pt>
              </c:strCache>
            </c:strRef>
          </c:cat>
          <c:val>
            <c:numRef>
              <c:f>'Graphs &amp; Charts'!$C$3:$C$9</c:f>
              <c:numCache>
                <c:formatCode>#,##0.00_);[Red]\(#,##0.00\)</c:formatCode>
                <c:ptCount val="7"/>
                <c:pt idx="0">
                  <c:v>0</c:v>
                </c:pt>
                <c:pt idx="1">
                  <c:v>3181.82</c:v>
                </c:pt>
                <c:pt idx="2">
                  <c:v>3181.82</c:v>
                </c:pt>
                <c:pt idx="3">
                  <c:v>3365.09</c:v>
                </c:pt>
                <c:pt idx="4">
                  <c:v>3545.16</c:v>
                </c:pt>
                <c:pt idx="5">
                  <c:v>3545.16</c:v>
                </c:pt>
                <c:pt idx="6">
                  <c:v>3545.16</c:v>
                </c:pt>
              </c:numCache>
            </c:numRef>
          </c:val>
          <c:extLst>
            <c:ext xmlns:c16="http://schemas.microsoft.com/office/drawing/2014/chart" uri="{C3380CC4-5D6E-409C-BE32-E72D297353CC}">
              <c16:uniqueId val="{00000001-1BA6-4A8B-9699-98932B936380}"/>
            </c:ext>
          </c:extLst>
        </c:ser>
        <c:dLbls>
          <c:showLegendKey val="0"/>
          <c:showVal val="0"/>
          <c:showCatName val="0"/>
          <c:showSerName val="0"/>
          <c:showPercent val="0"/>
          <c:showBubbleSize val="0"/>
        </c:dLbls>
        <c:gapWidth val="219"/>
        <c:overlap val="-27"/>
        <c:axId val="1489557983"/>
        <c:axId val="1489559647"/>
      </c:barChart>
      <c:catAx>
        <c:axId val="14895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9647"/>
        <c:crosses val="autoZero"/>
        <c:auto val="1"/>
        <c:lblAlgn val="ctr"/>
        <c:lblOffset val="100"/>
        <c:noMultiLvlLbl val="0"/>
      </c:catAx>
      <c:valAx>
        <c:axId val="1489559647"/>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214312</xdr:colOff>
      <xdr:row>0</xdr:row>
      <xdr:rowOff>138112</xdr:rowOff>
    </xdr:from>
    <xdr:to>
      <xdr:col>11</xdr:col>
      <xdr:colOff>519112</xdr:colOff>
      <xdr:row>17</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5875"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5875"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bcss.k12.ca.us/index.php/business-services/business-advisory-services/charter-schools-financia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0000-EA4C-4914-A55F-D31EFF9D9591}">
  <sheetPr>
    <tabColor rgb="FFFFFF00"/>
  </sheetPr>
  <dimension ref="A1:B29"/>
  <sheetViews>
    <sheetView workbookViewId="0">
      <selection activeCell="B2" sqref="B2"/>
    </sheetView>
  </sheetViews>
  <sheetFormatPr defaultRowHeight="13" x14ac:dyDescent="0.6"/>
  <cols>
    <col min="1" max="1" width="130" customWidth="1"/>
    <col min="2" max="2" width="11.26953125" bestFit="1" customWidth="1"/>
  </cols>
  <sheetData>
    <row r="1" spans="1:2" x14ac:dyDescent="0.6">
      <c r="B1" s="290" t="s">
        <v>262</v>
      </c>
    </row>
    <row r="2" spans="1:2" x14ac:dyDescent="0.6">
      <c r="A2" s="87" t="s">
        <v>224</v>
      </c>
    </row>
    <row r="3" spans="1:2" x14ac:dyDescent="0.6">
      <c r="A3" s="85" t="s">
        <v>225</v>
      </c>
    </row>
    <row r="4" spans="1:2" x14ac:dyDescent="0.6">
      <c r="A4" s="127" t="s">
        <v>223</v>
      </c>
    </row>
    <row r="6" spans="1:2" x14ac:dyDescent="0.6">
      <c r="A6" s="87" t="s">
        <v>226</v>
      </c>
    </row>
    <row r="7" spans="1:2" x14ac:dyDescent="0.6">
      <c r="A7" s="85"/>
    </row>
    <row r="8" spans="1:2" x14ac:dyDescent="0.6">
      <c r="A8" s="128" t="s">
        <v>218</v>
      </c>
    </row>
    <row r="9" spans="1:2" x14ac:dyDescent="0.6">
      <c r="A9" s="85" t="s">
        <v>219</v>
      </c>
    </row>
    <row r="11" spans="1:2" x14ac:dyDescent="0.6">
      <c r="A11" s="85" t="s">
        <v>220</v>
      </c>
    </row>
    <row r="13" spans="1:2" x14ac:dyDescent="0.6">
      <c r="A13" s="85" t="s">
        <v>221</v>
      </c>
    </row>
    <row r="15" spans="1:2" x14ac:dyDescent="0.6">
      <c r="A15" s="85" t="s">
        <v>222</v>
      </c>
    </row>
    <row r="18" spans="1:1" x14ac:dyDescent="0.6">
      <c r="A18" s="87" t="s">
        <v>228</v>
      </c>
    </row>
    <row r="19" spans="1:1" s="130" customFormat="1" ht="33" customHeight="1" x14ac:dyDescent="0.6">
      <c r="A19" s="129" t="s">
        <v>229</v>
      </c>
    </row>
    <row r="20" spans="1:1" s="130" customFormat="1" ht="19.5" customHeight="1" x14ac:dyDescent="0.6">
      <c r="A20" s="131" t="s">
        <v>227</v>
      </c>
    </row>
    <row r="22" spans="1:1" x14ac:dyDescent="0.6">
      <c r="A22" s="291" t="s">
        <v>237</v>
      </c>
    </row>
    <row r="23" spans="1:1" x14ac:dyDescent="0.6">
      <c r="A23" s="438" t="s">
        <v>260</v>
      </c>
    </row>
    <row r="24" spans="1:1" x14ac:dyDescent="0.6">
      <c r="A24" s="439" t="s">
        <v>258</v>
      </c>
    </row>
    <row r="25" spans="1:1" x14ac:dyDescent="0.6">
      <c r="A25" s="439" t="s">
        <v>261</v>
      </c>
    </row>
    <row r="26" spans="1:1" x14ac:dyDescent="0.6">
      <c r="A26" s="85"/>
    </row>
    <row r="27" spans="1:1" x14ac:dyDescent="0.6">
      <c r="A27" s="85"/>
    </row>
    <row r="28" spans="1:1" x14ac:dyDescent="0.6">
      <c r="A28" s="85"/>
    </row>
    <row r="29" spans="1:1" x14ac:dyDescent="0.6">
      <c r="A29" s="85"/>
    </row>
  </sheetData>
  <sheetProtection algorithmName="SHA-512" hashValue="ZdLVtkl+mDiDikMWPuBNDTXPn6TH9adPXNCxxIpmuuyrjD/jy7gl8Za5Sya/LH64CErdJDVHUrZMxn6OHPb6WA==" saltValue="NIFwD9Ln9idk04/Ewsd7vQ==" spinCount="100000" sheet="1" objects="1" scenarios="1"/>
  <hyperlinks>
    <hyperlink ref="A4" r:id="rId1" xr:uid="{9B4BCB6B-1C8B-4CE9-BF0F-E55C195E65C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FFFF"/>
    <pageSetUpPr fitToPage="1"/>
  </sheetPr>
  <dimension ref="A1:R422"/>
  <sheetViews>
    <sheetView tabSelected="1" view="pageBreakPreview" zoomScale="90" zoomScaleNormal="100" zoomScaleSheetLayoutView="90" workbookViewId="0">
      <selection activeCell="E369" sqref="E369"/>
    </sheetView>
  </sheetViews>
  <sheetFormatPr defaultColWidth="9.1328125" defaultRowHeight="17.149999999999999" customHeight="1" x14ac:dyDescent="0.7"/>
  <cols>
    <col min="1" max="1" width="1.7265625" style="1" customWidth="1"/>
    <col min="2" max="2" width="14" style="1" customWidth="1"/>
    <col min="3" max="4" width="20.86328125" style="1" customWidth="1"/>
    <col min="5" max="6" width="20.86328125" style="3" customWidth="1"/>
    <col min="7" max="7" width="22.1328125" style="5" customWidth="1"/>
    <col min="8" max="8" width="19.54296875" style="8" customWidth="1"/>
    <col min="9" max="9" width="19.54296875" style="5" customWidth="1"/>
    <col min="10" max="10" width="15.7265625" style="1" customWidth="1"/>
    <col min="11" max="11" width="4.86328125" style="1" customWidth="1"/>
    <col min="12" max="12" width="10" style="1" customWidth="1"/>
    <col min="13" max="13" width="9.1328125" style="1" customWidth="1"/>
    <col min="14" max="15" width="9.1328125" style="1"/>
    <col min="16" max="16" width="16.7265625" style="1" customWidth="1"/>
    <col min="17" max="16384" width="9.1328125" style="1"/>
  </cols>
  <sheetData>
    <row r="1" spans="1:18" s="2" customFormat="1" ht="17.149999999999999" customHeight="1" x14ac:dyDescent="0.7">
      <c r="A1" s="132" t="s">
        <v>0</v>
      </c>
      <c r="B1" s="133"/>
      <c r="C1" s="133"/>
      <c r="D1" s="133"/>
      <c r="E1" s="133"/>
      <c r="F1" s="133"/>
      <c r="G1" s="134"/>
      <c r="H1" s="134"/>
      <c r="I1" s="134"/>
      <c r="J1" s="134"/>
      <c r="K1" s="1"/>
      <c r="L1" s="1"/>
      <c r="M1" s="136"/>
    </row>
    <row r="2" spans="1:18" s="2" customFormat="1" ht="17.149999999999999" customHeight="1" x14ac:dyDescent="0.7">
      <c r="A2" s="563" t="s">
        <v>1</v>
      </c>
      <c r="B2" s="563"/>
      <c r="C2" s="563"/>
      <c r="D2" s="563"/>
      <c r="E2" s="563"/>
      <c r="F2" s="563"/>
      <c r="G2" s="563"/>
      <c r="H2" s="563"/>
      <c r="I2" s="563"/>
      <c r="J2" s="563"/>
      <c r="K2" s="1"/>
      <c r="L2" s="1"/>
      <c r="M2" s="136"/>
    </row>
    <row r="3" spans="1:18" s="2" customFormat="1" ht="17.149999999999999" customHeight="1" x14ac:dyDescent="0.7">
      <c r="A3" s="135"/>
      <c r="B3" s="133"/>
      <c r="C3" s="133"/>
      <c r="D3" s="133"/>
      <c r="E3" s="133"/>
      <c r="F3" s="133"/>
      <c r="G3" s="1"/>
      <c r="H3" s="1"/>
      <c r="I3" s="136"/>
      <c r="J3" s="292" t="str">
        <f>Instructions!B1</f>
        <v>Rev 11/3/2022</v>
      </c>
    </row>
    <row r="4" spans="1:18" s="2" customFormat="1" ht="24" customHeight="1" x14ac:dyDescent="0.85">
      <c r="A4" s="137" t="s">
        <v>2</v>
      </c>
      <c r="B4" s="138"/>
      <c r="C4" s="139"/>
      <c r="D4" s="508" t="str">
        <f>Data!A3</f>
        <v>2022-23</v>
      </c>
      <c r="E4" s="509"/>
      <c r="F4" s="509"/>
      <c r="G4" s="510"/>
      <c r="H4" s="1"/>
    </row>
    <row r="5" spans="1:18" s="2" customFormat="1" ht="24" customHeight="1" x14ac:dyDescent="0.7">
      <c r="A5" s="140" t="s">
        <v>4</v>
      </c>
      <c r="B5" s="140"/>
      <c r="D5" s="508" t="str">
        <f>Data!A1</f>
        <v>Granite Mountain Charter School</v>
      </c>
      <c r="E5" s="509"/>
      <c r="F5" s="509"/>
      <c r="G5" s="510"/>
    </row>
    <row r="6" spans="1:18" s="2" customFormat="1" ht="24" customHeight="1" x14ac:dyDescent="0.7">
      <c r="A6" s="140" t="s">
        <v>107</v>
      </c>
      <c r="B6" s="140"/>
      <c r="D6" s="508" t="str">
        <f>Data!A4</f>
        <v>Lucerne Valley</v>
      </c>
      <c r="E6" s="509"/>
      <c r="F6" s="509"/>
      <c r="G6" s="510"/>
    </row>
    <row r="7" spans="1:18" s="2" customFormat="1" ht="17.149999999999999" customHeight="1" thickBot="1" x14ac:dyDescent="0.85">
      <c r="A7" s="141"/>
      <c r="B7" s="141"/>
      <c r="C7" s="142"/>
      <c r="D7" s="141"/>
      <c r="E7" s="149"/>
      <c r="F7" s="149"/>
      <c r="G7" s="143"/>
      <c r="H7" s="150"/>
      <c r="I7" s="151"/>
      <c r="J7" s="142"/>
    </row>
    <row r="8" spans="1:18" s="2" customFormat="1" ht="35.25" customHeight="1" thickTop="1" x14ac:dyDescent="0.7">
      <c r="A8" s="140"/>
      <c r="B8" s="140"/>
      <c r="D8" s="140"/>
      <c r="E8" s="144"/>
      <c r="F8" s="4"/>
      <c r="G8" s="5"/>
      <c r="H8" s="8"/>
      <c r="I8" s="145" t="s">
        <v>5</v>
      </c>
    </row>
    <row r="9" spans="1:18" s="2" customFormat="1" ht="17.149999999999999" customHeight="1" x14ac:dyDescent="0.7">
      <c r="A9" s="140" t="s">
        <v>6</v>
      </c>
      <c r="B9" s="140"/>
      <c r="D9" s="533" t="str">
        <f>Data!A2</f>
        <v>First Interim</v>
      </c>
      <c r="E9" s="534"/>
      <c r="G9" s="146" t="s">
        <v>9</v>
      </c>
      <c r="H9" s="5"/>
      <c r="I9" s="33" t="s">
        <v>113</v>
      </c>
      <c r="J9" s="8"/>
    </row>
    <row r="10" spans="1:18" s="2" customFormat="1" ht="17.149999999999999" customHeight="1" x14ac:dyDescent="0.75">
      <c r="A10" s="1"/>
      <c r="D10" s="152"/>
      <c r="E10" s="144"/>
      <c r="G10" s="146" t="s">
        <v>13</v>
      </c>
      <c r="H10" s="5"/>
      <c r="I10" s="33" t="s">
        <v>113</v>
      </c>
      <c r="J10" s="8"/>
    </row>
    <row r="11" spans="1:18" ht="17.149999999999999" customHeight="1" x14ac:dyDescent="0.75">
      <c r="D11" s="152"/>
      <c r="G11" s="146" t="s">
        <v>11</v>
      </c>
      <c r="H11" s="5"/>
      <c r="I11" s="33" t="s">
        <v>113</v>
      </c>
      <c r="J11" s="8"/>
      <c r="P11" s="2"/>
      <c r="Q11" s="2"/>
      <c r="R11" s="2"/>
    </row>
    <row r="12" spans="1:18" ht="17.149999999999999" customHeight="1" x14ac:dyDescent="0.75">
      <c r="D12" s="152"/>
      <c r="G12" s="146" t="s">
        <v>15</v>
      </c>
      <c r="H12" s="5"/>
      <c r="I12" s="33" t="s">
        <v>113</v>
      </c>
      <c r="J12" s="8"/>
    </row>
    <row r="13" spans="1:18" ht="17.149999999999999" customHeight="1" x14ac:dyDescent="0.75">
      <c r="D13" s="152"/>
      <c r="G13" s="146" t="s">
        <v>14</v>
      </c>
      <c r="H13" s="5"/>
      <c r="I13" s="33" t="s">
        <v>113</v>
      </c>
      <c r="J13" s="8"/>
    </row>
    <row r="14" spans="1:18" ht="17.149999999999999" customHeight="1" x14ac:dyDescent="0.7">
      <c r="D14" s="2"/>
      <c r="G14" s="146" t="s">
        <v>7</v>
      </c>
      <c r="H14" s="5"/>
      <c r="I14" s="33" t="s">
        <v>113</v>
      </c>
      <c r="J14" s="8"/>
    </row>
    <row r="15" spans="1:18" ht="17.149999999999999" customHeight="1" x14ac:dyDescent="0.7">
      <c r="D15" s="2"/>
      <c r="F15" s="146"/>
      <c r="H15" s="153"/>
      <c r="I15" s="8"/>
    </row>
    <row r="16" spans="1:18" ht="17.149999999999999" customHeight="1" x14ac:dyDescent="0.7">
      <c r="A16" s="9" t="s">
        <v>131</v>
      </c>
      <c r="D16" s="154"/>
      <c r="E16" s="154"/>
      <c r="H16" s="5"/>
    </row>
    <row r="17" spans="1:18" ht="33.75" customHeight="1" x14ac:dyDescent="0.7">
      <c r="A17" s="9"/>
      <c r="C17" s="566" t="s">
        <v>127</v>
      </c>
      <c r="D17" s="566"/>
      <c r="E17" s="566"/>
      <c r="F17" s="566"/>
      <c r="G17" s="566"/>
      <c r="H17" s="566"/>
      <c r="I17" s="18"/>
      <c r="J17" s="18"/>
    </row>
    <row r="18" spans="1:18" ht="29.25" customHeight="1" x14ac:dyDescent="0.7">
      <c r="A18" s="9"/>
      <c r="C18" s="562" t="str">
        <f>IF(C17="Select from drop down list","",IF(C17="Positive - Charter will meet it's financial obligations in current and 2 subsequent years",T('Drop Down Lists'!A15),T('Drop Down Lists'!A16)))</f>
        <v>Attach letter to Charter School advising them of Positive status and giving pertinent feedback</v>
      </c>
      <c r="D18" s="562"/>
      <c r="E18" s="562"/>
      <c r="F18" s="562"/>
      <c r="G18" s="562"/>
      <c r="H18" s="562"/>
      <c r="I18" s="155"/>
      <c r="J18" s="155"/>
      <c r="M18" s="174"/>
      <c r="N18" s="174"/>
      <c r="O18" s="174"/>
      <c r="P18" s="174"/>
      <c r="Q18" s="174"/>
      <c r="R18" s="174"/>
    </row>
    <row r="19" spans="1:18" ht="15.75" x14ac:dyDescent="0.7">
      <c r="A19" s="9"/>
      <c r="J19" s="156"/>
      <c r="M19" s="174"/>
      <c r="N19" s="174"/>
      <c r="O19" s="174"/>
      <c r="P19" s="174"/>
      <c r="Q19" s="174"/>
      <c r="R19" s="174"/>
    </row>
    <row r="20" spans="1:18" ht="17.149999999999999" customHeight="1" x14ac:dyDescent="0.7">
      <c r="A20" s="7"/>
      <c r="B20" s="147" t="s">
        <v>16</v>
      </c>
      <c r="E20" s="7"/>
      <c r="F20" s="1"/>
      <c r="G20" s="147" t="s">
        <v>17</v>
      </c>
      <c r="H20" s="5"/>
    </row>
    <row r="21" spans="1:18" ht="17.149999999999999" customHeight="1" x14ac:dyDescent="0.7">
      <c r="A21" s="6"/>
      <c r="B21" s="148">
        <v>1</v>
      </c>
      <c r="C21" s="530"/>
      <c r="D21" s="531"/>
      <c r="E21" s="531"/>
      <c r="F21" s="532"/>
      <c r="G21" s="564"/>
      <c r="H21" s="564"/>
      <c r="I21" s="564"/>
      <c r="J21" s="565"/>
    </row>
    <row r="22" spans="1:18" ht="17.149999999999999" customHeight="1" x14ac:dyDescent="0.7">
      <c r="A22" s="6"/>
      <c r="B22" s="148">
        <v>2</v>
      </c>
      <c r="C22" s="530"/>
      <c r="D22" s="531"/>
      <c r="E22" s="531"/>
      <c r="F22" s="532"/>
      <c r="G22" s="564"/>
      <c r="H22" s="564"/>
      <c r="I22" s="564"/>
      <c r="J22" s="565"/>
    </row>
    <row r="23" spans="1:18" s="6" customFormat="1" ht="17.149999999999999" customHeight="1" x14ac:dyDescent="0.7">
      <c r="B23" s="148">
        <v>3</v>
      </c>
      <c r="C23" s="530"/>
      <c r="D23" s="531"/>
      <c r="E23" s="531"/>
      <c r="F23" s="532"/>
      <c r="G23" s="564"/>
      <c r="H23" s="564"/>
      <c r="I23" s="564"/>
      <c r="J23" s="565"/>
    </row>
    <row r="24" spans="1:18" s="6" customFormat="1" ht="17.149999999999999" customHeight="1" x14ac:dyDescent="0.7">
      <c r="B24" s="148">
        <v>4</v>
      </c>
      <c r="C24" s="530"/>
      <c r="D24" s="531"/>
      <c r="E24" s="531"/>
      <c r="F24" s="532"/>
      <c r="G24" s="564"/>
      <c r="H24" s="564"/>
      <c r="I24" s="564"/>
      <c r="J24" s="565"/>
    </row>
    <row r="25" spans="1:18" s="6" customFormat="1" ht="17.149999999999999" customHeight="1" x14ac:dyDescent="0.7">
      <c r="B25" s="148">
        <v>5</v>
      </c>
      <c r="C25" s="530"/>
      <c r="D25" s="531"/>
      <c r="E25" s="531"/>
      <c r="F25" s="532"/>
      <c r="G25" s="564"/>
      <c r="H25" s="564"/>
      <c r="I25" s="564"/>
      <c r="J25" s="565"/>
    </row>
    <row r="26" spans="1:18" s="6" customFormat="1" ht="17.149999999999999" customHeight="1" x14ac:dyDescent="0.7">
      <c r="B26" s="148">
        <v>6</v>
      </c>
      <c r="C26" s="530"/>
      <c r="D26" s="531"/>
      <c r="E26" s="531"/>
      <c r="F26" s="532"/>
      <c r="G26" s="564"/>
      <c r="H26" s="564"/>
      <c r="I26" s="564"/>
      <c r="J26" s="565"/>
    </row>
    <row r="27" spans="1:18" s="6" customFormat="1" ht="17.149999999999999" customHeight="1" x14ac:dyDescent="0.7">
      <c r="B27" s="148">
        <v>7</v>
      </c>
      <c r="C27" s="530"/>
      <c r="D27" s="531"/>
      <c r="E27" s="531"/>
      <c r="F27" s="532"/>
      <c r="G27" s="564"/>
      <c r="H27" s="564"/>
      <c r="I27" s="564"/>
      <c r="J27" s="565"/>
    </row>
    <row r="28" spans="1:18" ht="17.149999999999999" customHeight="1" x14ac:dyDescent="0.7">
      <c r="B28" s="9"/>
    </row>
    <row r="29" spans="1:18" ht="17.149999999999999" customHeight="1" x14ac:dyDescent="0.7">
      <c r="B29" s="9"/>
    </row>
    <row r="30" spans="1:18" ht="17.149999999999999" customHeight="1" x14ac:dyDescent="0.7">
      <c r="B30" s="9"/>
      <c r="C30" s="35" t="s">
        <v>18</v>
      </c>
      <c r="D30" s="593" t="s">
        <v>356</v>
      </c>
      <c r="E30" s="553"/>
      <c r="F30" s="553"/>
      <c r="G30" s="554"/>
    </row>
    <row r="31" spans="1:18" ht="17.149999999999999" customHeight="1" x14ac:dyDescent="0.7">
      <c r="B31" s="9"/>
      <c r="C31" s="35" t="s">
        <v>19</v>
      </c>
      <c r="D31" s="593" t="s">
        <v>357</v>
      </c>
      <c r="E31" s="553"/>
      <c r="F31" s="553"/>
      <c r="G31" s="554"/>
    </row>
    <row r="32" spans="1:18" ht="17.149999999999999" customHeight="1" x14ac:dyDescent="0.7">
      <c r="B32" s="9"/>
      <c r="C32" s="35" t="s">
        <v>20</v>
      </c>
      <c r="D32" s="597">
        <v>44893</v>
      </c>
      <c r="E32" s="553"/>
      <c r="F32" s="553"/>
      <c r="G32" s="554"/>
    </row>
    <row r="33" spans="1:10" ht="17.149999999999999" customHeight="1" x14ac:dyDescent="0.7">
      <c r="B33" s="9"/>
      <c r="C33" s="35" t="s">
        <v>21</v>
      </c>
      <c r="D33" s="593" t="s">
        <v>358</v>
      </c>
      <c r="E33" s="553"/>
      <c r="F33" s="553"/>
      <c r="G33" s="554"/>
    </row>
    <row r="34" spans="1:10" ht="17.149999999999999" customHeight="1" x14ac:dyDescent="0.7">
      <c r="B34" s="9"/>
      <c r="C34" s="35" t="s">
        <v>22</v>
      </c>
      <c r="D34" s="552" t="s">
        <v>359</v>
      </c>
      <c r="E34" s="553"/>
      <c r="F34" s="553"/>
      <c r="G34" s="554"/>
    </row>
    <row r="35" spans="1:10" ht="17.149999999999999" customHeight="1" x14ac:dyDescent="0.7">
      <c r="B35" s="9"/>
      <c r="C35" s="35"/>
      <c r="D35" s="3"/>
      <c r="G35" s="3"/>
    </row>
    <row r="36" spans="1:10" ht="17.149999999999999" customHeight="1" x14ac:dyDescent="0.7">
      <c r="A36" s="121"/>
      <c r="B36" s="121"/>
      <c r="C36" s="121"/>
      <c r="D36" s="121"/>
      <c r="E36" s="121"/>
      <c r="F36" s="121"/>
      <c r="G36" s="121"/>
      <c r="H36" s="121"/>
      <c r="I36" s="121"/>
      <c r="J36" s="121"/>
    </row>
    <row r="37" spans="1:10" ht="17.149999999999999" customHeight="1" x14ac:dyDescent="0.7">
      <c r="B37" s="9"/>
    </row>
    <row r="38" spans="1:10" ht="17.149999999999999" customHeight="1" x14ac:dyDescent="0.7">
      <c r="A38" s="54" t="s">
        <v>201</v>
      </c>
      <c r="B38" s="55"/>
      <c r="C38" s="55"/>
      <c r="D38" s="55"/>
      <c r="E38" s="55"/>
      <c r="F38" s="55"/>
      <c r="G38" s="56"/>
      <c r="H38" s="57"/>
      <c r="I38" s="57"/>
      <c r="J38" s="55"/>
    </row>
    <row r="39" spans="1:10" ht="17.149999999999999" customHeight="1" x14ac:dyDescent="0.7">
      <c r="A39" s="7"/>
      <c r="G39" s="30"/>
    </row>
    <row r="40" spans="1:10" s="53" customFormat="1" ht="19.5" customHeight="1" x14ac:dyDescent="0.6">
      <c r="A40" s="49" t="s">
        <v>23</v>
      </c>
      <c r="B40" s="50"/>
      <c r="C40" s="50"/>
      <c r="D40" s="51"/>
      <c r="E40" s="51"/>
      <c r="F40" s="52" t="s">
        <v>24</v>
      </c>
      <c r="G40" s="50"/>
      <c r="H40" s="50"/>
      <c r="I40" s="50"/>
      <c r="J40" s="50"/>
    </row>
    <row r="41" spans="1:10" s="53" customFormat="1" ht="9" customHeight="1" x14ac:dyDescent="0.6">
      <c r="A41" s="59"/>
      <c r="D41" s="97"/>
      <c r="E41" s="97"/>
      <c r="F41" s="98"/>
    </row>
    <row r="42" spans="1:10" s="53" customFormat="1" ht="19.5" customHeight="1" x14ac:dyDescent="0.6">
      <c r="A42" s="59"/>
      <c r="B42" s="579" t="s">
        <v>231</v>
      </c>
      <c r="C42" s="579"/>
      <c r="D42" s="579"/>
      <c r="E42" s="579"/>
      <c r="F42" s="579"/>
      <c r="G42" s="579"/>
      <c r="H42" s="579"/>
      <c r="I42" s="579"/>
    </row>
    <row r="43" spans="1:10" ht="7.5" customHeight="1" x14ac:dyDescent="0.7">
      <c r="A43" s="9"/>
      <c r="D43" s="4"/>
      <c r="E43" s="4"/>
      <c r="F43" s="10"/>
      <c r="G43" s="1"/>
      <c r="H43" s="1"/>
      <c r="I43" s="1"/>
    </row>
    <row r="44" spans="1:10" s="4" customFormat="1" ht="17.149999999999999" customHeight="1" x14ac:dyDescent="0.6">
      <c r="B44" s="74" t="s">
        <v>25</v>
      </c>
      <c r="C44" s="64"/>
      <c r="D44" s="64"/>
      <c r="E44" s="65"/>
      <c r="F44" s="66"/>
      <c r="G44" s="67"/>
      <c r="H44" s="64"/>
      <c r="I44" s="68"/>
      <c r="J44" s="88" t="s">
        <v>29</v>
      </c>
    </row>
    <row r="45" spans="1:10" s="4" customFormat="1" ht="17.149999999999999" customHeight="1" x14ac:dyDescent="0.6">
      <c r="B45" s="69"/>
      <c r="C45" s="27" t="s">
        <v>108</v>
      </c>
      <c r="D45" s="70" t="s">
        <v>117</v>
      </c>
      <c r="E45" s="71"/>
      <c r="F45" s="72" t="s">
        <v>27</v>
      </c>
      <c r="G45" s="70" t="s">
        <v>28</v>
      </c>
      <c r="H45" s="71"/>
      <c r="I45" s="73" t="s">
        <v>29</v>
      </c>
      <c r="J45" s="96" t="s">
        <v>144</v>
      </c>
    </row>
    <row r="46" spans="1:10" s="4" customFormat="1" ht="17.149999999999999" customHeight="1" x14ac:dyDescent="0.6">
      <c r="B46" s="69" t="s">
        <v>192</v>
      </c>
      <c r="C46" s="103">
        <v>0</v>
      </c>
      <c r="D46" s="104"/>
      <c r="E46" s="105"/>
      <c r="F46" s="108">
        <v>0</v>
      </c>
      <c r="G46" s="82"/>
      <c r="H46" s="81"/>
      <c r="I46" s="81"/>
      <c r="J46" s="89"/>
    </row>
    <row r="47" spans="1:10" s="4" customFormat="1" ht="17.149999999999999" customHeight="1" x14ac:dyDescent="0.6">
      <c r="B47" s="69" t="s">
        <v>3</v>
      </c>
      <c r="C47" s="103">
        <v>3181.82</v>
      </c>
      <c r="D47" s="106" t="str">
        <f>IF(C46&lt;&gt;0,(IF(C47&lt;&gt;0,C47-C46,"")),"")</f>
        <v/>
      </c>
      <c r="E47" s="285" t="str">
        <f t="shared" ref="E47:E52" si="0">IF(C46&lt;&gt;0,(IF(C47&lt;&gt;0,(C47-C46)/C46,"")),"")</f>
        <v/>
      </c>
      <c r="F47" s="108">
        <v>3270</v>
      </c>
      <c r="G47" s="293" t="str">
        <f>IF(F46&lt;&gt;0,(IF(F47&lt;&gt;0,F47-F46,"")),"")</f>
        <v/>
      </c>
      <c r="H47" s="62" t="str">
        <f t="shared" ref="H47:H52" si="1">IF(F46&lt;&gt;0,(IF(F47&lt;&gt;0,(F47-F46)/F46,"")),"")</f>
        <v/>
      </c>
      <c r="I47" s="63">
        <f t="shared" ref="I47:I52" si="2">IF(F47&lt;&gt;0,C47/F47,"")</f>
        <v>0.97303363914373098</v>
      </c>
      <c r="J47" s="90"/>
    </row>
    <row r="48" spans="1:10" s="4" customFormat="1" ht="17.149999999999999" customHeight="1" x14ac:dyDescent="0.6">
      <c r="B48" s="69" t="s">
        <v>36</v>
      </c>
      <c r="C48" s="103">
        <v>3181.82</v>
      </c>
      <c r="D48" s="106">
        <f t="shared" ref="D48:D52" si="3">IF(C47&lt;&gt;0,(IF(C48&lt;&gt;0,C48-C47,"")),"")</f>
        <v>0</v>
      </c>
      <c r="E48" s="285">
        <f t="shared" si="0"/>
        <v>0</v>
      </c>
      <c r="F48" s="108">
        <v>3285</v>
      </c>
      <c r="G48" s="293">
        <f t="shared" ref="G48:G52" si="4">IF(F47&lt;&gt;0,(IF(F48&lt;&gt;0,F48-F47,"")),"")</f>
        <v>15</v>
      </c>
      <c r="H48" s="62">
        <f t="shared" si="1"/>
        <v>4.5871559633027525E-3</v>
      </c>
      <c r="I48" s="63">
        <f t="shared" si="2"/>
        <v>0.96859056316590564</v>
      </c>
      <c r="J48" s="90"/>
    </row>
    <row r="49" spans="1:10" s="4" customFormat="1" ht="17.149999999999999" customHeight="1" x14ac:dyDescent="0.6">
      <c r="B49" s="69" t="s">
        <v>232</v>
      </c>
      <c r="C49" s="114">
        <f>Data!B6</f>
        <v>3365.09</v>
      </c>
      <c r="D49" s="106">
        <f t="shared" si="3"/>
        <v>183.26999999999998</v>
      </c>
      <c r="E49" s="286">
        <f t="shared" si="0"/>
        <v>5.7599109943365735E-2</v>
      </c>
      <c r="F49" s="157">
        <f>Data!B7</f>
        <v>3315</v>
      </c>
      <c r="G49" s="293">
        <f t="shared" si="4"/>
        <v>30</v>
      </c>
      <c r="H49" s="158">
        <f t="shared" si="1"/>
        <v>9.1324200913242004E-3</v>
      </c>
      <c r="I49" s="63">
        <f t="shared" si="2"/>
        <v>1.0151101055806939</v>
      </c>
      <c r="J49" s="159"/>
    </row>
    <row r="50" spans="1:10" s="4" customFormat="1" ht="17.149999999999999" customHeight="1" x14ac:dyDescent="0.6">
      <c r="B50" s="160" t="str">
        <f>D4</f>
        <v>2022-23</v>
      </c>
      <c r="C50" s="161">
        <f>Data!C6</f>
        <v>3545.16</v>
      </c>
      <c r="D50" s="107">
        <f t="shared" si="3"/>
        <v>180.06999999999971</v>
      </c>
      <c r="E50" s="287">
        <f t="shared" si="0"/>
        <v>5.3511198808947072E-2</v>
      </c>
      <c r="F50" s="162">
        <f>Data!C7</f>
        <v>3548</v>
      </c>
      <c r="G50" s="294">
        <f t="shared" si="4"/>
        <v>233</v>
      </c>
      <c r="H50" s="163">
        <f t="shared" si="1"/>
        <v>7.028657616892911E-2</v>
      </c>
      <c r="I50" s="164">
        <f t="shared" si="2"/>
        <v>0.9991995490417136</v>
      </c>
      <c r="J50" s="163" t="str">
        <f>IF(J53="Insufficient History","",IF(I50&gt;$J$53,"Not Met","Meets"))</f>
        <v>Not Met</v>
      </c>
    </row>
    <row r="51" spans="1:10" s="4" customFormat="1" ht="17.149999999999999" customHeight="1" x14ac:dyDescent="0.6">
      <c r="B51" s="160" t="s">
        <v>193</v>
      </c>
      <c r="C51" s="161">
        <f>Data!D6</f>
        <v>3545.16</v>
      </c>
      <c r="D51" s="107">
        <f t="shared" si="3"/>
        <v>0</v>
      </c>
      <c r="E51" s="287">
        <f t="shared" si="0"/>
        <v>0</v>
      </c>
      <c r="F51" s="162">
        <f>Data!D7</f>
        <v>3548</v>
      </c>
      <c r="G51" s="294">
        <f t="shared" si="4"/>
        <v>0</v>
      </c>
      <c r="H51" s="163">
        <f t="shared" si="1"/>
        <v>0</v>
      </c>
      <c r="I51" s="164">
        <f t="shared" si="2"/>
        <v>0.9991995490417136</v>
      </c>
      <c r="J51" s="163" t="str">
        <f>IF(J53="Insufficient History","",IF(I51&gt;$J$53,"Not Met","Meets"))</f>
        <v>Not Met</v>
      </c>
    </row>
    <row r="52" spans="1:10" s="4" customFormat="1" ht="17.149999999999999" customHeight="1" thickBot="1" x14ac:dyDescent="0.75">
      <c r="B52" s="165" t="s">
        <v>238</v>
      </c>
      <c r="C52" s="166">
        <f>Data!E6</f>
        <v>3545.16</v>
      </c>
      <c r="D52" s="295">
        <f t="shared" si="3"/>
        <v>0</v>
      </c>
      <c r="E52" s="288">
        <f t="shared" si="0"/>
        <v>0</v>
      </c>
      <c r="F52" s="162">
        <f>Data!E7</f>
        <v>3548</v>
      </c>
      <c r="G52" s="294">
        <f t="shared" si="4"/>
        <v>0</v>
      </c>
      <c r="H52" s="167">
        <f t="shared" si="1"/>
        <v>0</v>
      </c>
      <c r="I52" s="168">
        <f t="shared" si="2"/>
        <v>0.9991995490417136</v>
      </c>
      <c r="J52" s="163" t="str">
        <f>IF(J53="Insufficient History","",IF(I52&gt;$J$53,"Not Met","Meets"))</f>
        <v>Not Met</v>
      </c>
    </row>
    <row r="53" spans="1:10" ht="30.75" customHeight="1" thickBot="1" x14ac:dyDescent="0.85">
      <c r="A53" s="14"/>
      <c r="B53" s="169"/>
      <c r="C53" s="474" t="s">
        <v>114</v>
      </c>
      <c r="D53" s="555"/>
      <c r="E53" s="170" t="str">
        <f>IF(E47="","Insufficient History",SUM(E47:E49)/3)</f>
        <v>Insufficient History</v>
      </c>
      <c r="F53" s="171"/>
      <c r="G53" s="169"/>
      <c r="H53" s="170" t="str">
        <f>IF(H47="","Insufficient History",SUM(H47:H49)/3)</f>
        <v>Insufficient History</v>
      </c>
      <c r="I53" s="170">
        <f>IF(I47="","Insufficient History",SUM(I47:I49)/3)</f>
        <v>0.98557810263011014</v>
      </c>
      <c r="J53" s="172">
        <f>IF(I53="Insufficient History","Insufficient History",I53+0.005)</f>
        <v>0.99057810263011015</v>
      </c>
    </row>
    <row r="54" spans="1:10" ht="10.5" customHeight="1" thickBot="1" x14ac:dyDescent="0.85">
      <c r="A54" s="14"/>
      <c r="B54" s="23"/>
      <c r="C54" s="28"/>
      <c r="D54" s="60"/>
      <c r="E54" s="173"/>
      <c r="F54" s="23"/>
      <c r="G54" s="23"/>
      <c r="H54" s="173"/>
      <c r="I54" s="173"/>
    </row>
    <row r="55" spans="1:10" ht="17.149999999999999" customHeight="1" thickBot="1" x14ac:dyDescent="0.85">
      <c r="A55" s="14"/>
      <c r="B55" s="559" t="s">
        <v>210</v>
      </c>
      <c r="C55" s="560"/>
      <c r="D55" s="560"/>
      <c r="E55" s="560"/>
      <c r="F55" s="560"/>
      <c r="G55" s="560"/>
      <c r="H55" s="560"/>
      <c r="I55" s="560"/>
      <c r="J55" s="561"/>
    </row>
    <row r="56" spans="1:10" ht="37.5" customHeight="1" x14ac:dyDescent="0.7">
      <c r="A56" s="14"/>
      <c r="B56" s="556" t="s">
        <v>360</v>
      </c>
      <c r="C56" s="557"/>
      <c r="D56" s="557"/>
      <c r="E56" s="557"/>
      <c r="F56" s="557"/>
      <c r="G56" s="557"/>
      <c r="H56" s="557"/>
      <c r="I56" s="557"/>
      <c r="J56" s="558"/>
    </row>
    <row r="57" spans="1:10" ht="17.149999999999999" customHeight="1" x14ac:dyDescent="0.7">
      <c r="A57" s="14"/>
      <c r="B57" s="23"/>
      <c r="C57" s="28"/>
      <c r="D57" s="60"/>
      <c r="E57" s="61"/>
      <c r="F57" s="23"/>
      <c r="G57" s="23"/>
      <c r="H57" s="61"/>
      <c r="I57" s="61"/>
    </row>
    <row r="58" spans="1:10" ht="17.149999999999999" customHeight="1" x14ac:dyDescent="0.7">
      <c r="A58" s="14"/>
      <c r="B58" s="17" t="str">
        <f>B50&amp;" Certified CBEDS (if available)"</f>
        <v>2022-23 Certified CBEDS (if available)</v>
      </c>
      <c r="C58" s="28"/>
      <c r="D58" s="60"/>
      <c r="E58" s="61"/>
      <c r="F58" s="109" t="s">
        <v>361</v>
      </c>
      <c r="G58" s="23"/>
      <c r="H58" s="61"/>
      <c r="I58" s="61"/>
    </row>
    <row r="59" spans="1:10" ht="17.149999999999999" customHeight="1" x14ac:dyDescent="0.7">
      <c r="A59" s="14"/>
      <c r="B59" s="25" t="s">
        <v>111</v>
      </c>
      <c r="C59" s="28"/>
      <c r="D59" s="60"/>
      <c r="E59" s="61"/>
      <c r="F59" s="27" t="str">
        <f>IF(F58="","", IF(F58=F50,"Equal", "Not Equal"))</f>
        <v>Not Equal</v>
      </c>
      <c r="G59" s="23"/>
      <c r="H59" s="61"/>
      <c r="I59" s="61"/>
    </row>
    <row r="60" spans="1:10" ht="17.149999999999999" customHeight="1" x14ac:dyDescent="0.7">
      <c r="A60" s="14"/>
      <c r="B60" s="23"/>
      <c r="C60" s="28"/>
      <c r="D60" s="60"/>
      <c r="E60" s="61"/>
      <c r="F60" s="23"/>
      <c r="G60" s="23"/>
      <c r="H60" s="61"/>
      <c r="I60" s="61"/>
    </row>
    <row r="61" spans="1:10" ht="17.149999999999999" customHeight="1" x14ac:dyDescent="0.7">
      <c r="A61" s="14"/>
      <c r="B61" s="17" t="s">
        <v>30</v>
      </c>
      <c r="C61" s="28"/>
      <c r="D61" s="60"/>
      <c r="E61" s="78"/>
      <c r="F61" s="23"/>
      <c r="G61" s="27" t="s">
        <v>112</v>
      </c>
      <c r="H61" s="61"/>
      <c r="I61" s="61"/>
    </row>
    <row r="62" spans="1:10" ht="17.149999999999999" customHeight="1" x14ac:dyDescent="0.7">
      <c r="A62" s="14"/>
      <c r="B62" s="25" t="s">
        <v>31</v>
      </c>
      <c r="C62" s="28"/>
      <c r="D62" s="60"/>
      <c r="E62" s="99" t="s">
        <v>115</v>
      </c>
      <c r="F62" s="1"/>
      <c r="G62" s="110"/>
      <c r="H62" s="61"/>
      <c r="I62" s="61"/>
    </row>
    <row r="63" spans="1:10" ht="17.149999999999999" customHeight="1" thickBot="1" x14ac:dyDescent="0.85">
      <c r="A63" s="14"/>
      <c r="B63" s="23"/>
      <c r="C63" s="28"/>
      <c r="D63" s="60"/>
      <c r="E63" s="61"/>
      <c r="F63" s="23"/>
      <c r="G63" s="23"/>
      <c r="H63" s="61"/>
      <c r="I63" s="61"/>
    </row>
    <row r="64" spans="1:10" ht="33.75" customHeight="1" thickBot="1" x14ac:dyDescent="0.85">
      <c r="A64" s="14"/>
      <c r="B64" s="23"/>
      <c r="C64" s="76" t="s">
        <v>32</v>
      </c>
      <c r="D64" s="77" t="s">
        <v>33</v>
      </c>
      <c r="E64" s="76" t="s">
        <v>34</v>
      </c>
      <c r="F64" s="76" t="s">
        <v>35</v>
      </c>
      <c r="G64" s="23"/>
      <c r="H64" s="548" t="s">
        <v>60</v>
      </c>
      <c r="I64" s="549"/>
    </row>
    <row r="65" spans="1:9" ht="17.149999999999999" customHeight="1" x14ac:dyDescent="0.7">
      <c r="A65" s="14"/>
      <c r="B65" s="75" t="str">
        <f>B48</f>
        <v>2020-21</v>
      </c>
      <c r="C65" s="111">
        <v>3285</v>
      </c>
      <c r="D65" s="175">
        <f>F48</f>
        <v>3285</v>
      </c>
      <c r="E65" s="176">
        <f>D65-C65</f>
        <v>0</v>
      </c>
      <c r="F65" s="177">
        <f>IF(D65&lt;&gt;0,E65/D65,"")</f>
        <v>0</v>
      </c>
      <c r="G65" s="23" t="str">
        <f>IF($G$62="","",IF(D65-$G$62&gt;0,"Exceeds Cap",""))</f>
        <v/>
      </c>
      <c r="H65" s="550"/>
      <c r="I65" s="550"/>
    </row>
    <row r="66" spans="1:9" ht="17.149999999999999" customHeight="1" x14ac:dyDescent="0.7">
      <c r="A66" s="14"/>
      <c r="B66" s="75" t="str">
        <f>B49</f>
        <v>2021-22</v>
      </c>
      <c r="C66" s="112">
        <v>3584</v>
      </c>
      <c r="D66" s="175">
        <f>F49</f>
        <v>3315</v>
      </c>
      <c r="E66" s="176">
        <f>D66-C66</f>
        <v>-269</v>
      </c>
      <c r="F66" s="177">
        <f>IF(D66&lt;&gt;0,E66/D66,"")</f>
        <v>-8.1146304675716444E-2</v>
      </c>
      <c r="G66" s="23" t="str">
        <f>IF($G$62="","",IF(D66-$G$62&gt;0,"Exceeds Cap",""))</f>
        <v/>
      </c>
      <c r="H66" s="551"/>
      <c r="I66" s="551"/>
    </row>
    <row r="67" spans="1:9" ht="17.149999999999999" customHeight="1" x14ac:dyDescent="0.7">
      <c r="A67" s="14"/>
      <c r="B67" s="79" t="str">
        <f>B50</f>
        <v>2022-23</v>
      </c>
      <c r="C67" s="113">
        <v>3548</v>
      </c>
      <c r="D67" s="178">
        <f>F50</f>
        <v>3548</v>
      </c>
      <c r="E67" s="179">
        <f>D67-C67</f>
        <v>0</v>
      </c>
      <c r="F67" s="180">
        <f>IF(D67&lt;&gt;0,E67/D67,"")</f>
        <v>0</v>
      </c>
      <c r="G67" s="23" t="str">
        <f>IF($G$62="","",IF(D67-$G$62&gt;0,"Exceeds Cap",""))</f>
        <v/>
      </c>
      <c r="H67" s="551"/>
      <c r="I67" s="551"/>
    </row>
    <row r="68" spans="1:9" ht="17.149999999999999" customHeight="1" x14ac:dyDescent="0.7">
      <c r="A68" s="14"/>
      <c r="B68" s="79" t="str">
        <f>B51</f>
        <v>2023-24</v>
      </c>
      <c r="C68" s="113">
        <v>3548</v>
      </c>
      <c r="D68" s="178">
        <f>F51</f>
        <v>3548</v>
      </c>
      <c r="E68" s="179">
        <f>D68-C68</f>
        <v>0</v>
      </c>
      <c r="F68" s="180">
        <f>IF(D68&lt;&gt;0,E68/D68,"")</f>
        <v>0</v>
      </c>
      <c r="G68" s="23" t="str">
        <f>IF($G$62="","",IF(D68-$G$62&gt;0,"Exceeds Cap",""))</f>
        <v/>
      </c>
      <c r="H68" s="551"/>
      <c r="I68" s="551"/>
    </row>
    <row r="69" spans="1:9" ht="17.149999999999999" customHeight="1" x14ac:dyDescent="0.7">
      <c r="A69" s="14"/>
      <c r="B69" s="80" t="str">
        <f>B52</f>
        <v>2024-25</v>
      </c>
      <c r="C69" s="113">
        <v>3548</v>
      </c>
      <c r="D69" s="178">
        <f>F52</f>
        <v>3548</v>
      </c>
      <c r="E69" s="179">
        <f>D69-C69</f>
        <v>0</v>
      </c>
      <c r="F69" s="180">
        <f>IF(D69&lt;&gt;0,E69/D69,"")</f>
        <v>0</v>
      </c>
      <c r="G69" s="23" t="str">
        <f>IF($G$62="","",IF(D69-$G$62&gt;0,"Exceeds Cap",""))</f>
        <v/>
      </c>
      <c r="H69" s="551"/>
      <c r="I69" s="551"/>
    </row>
    <row r="70" spans="1:9" ht="7.5" customHeight="1" x14ac:dyDescent="0.7">
      <c r="A70" s="14"/>
      <c r="B70" s="23"/>
      <c r="C70" s="28"/>
      <c r="D70" s="60"/>
      <c r="E70" s="61"/>
      <c r="F70" s="23"/>
      <c r="G70" s="23"/>
      <c r="H70" s="61"/>
      <c r="I70" s="61"/>
    </row>
    <row r="71" spans="1:9" ht="17.149999999999999" customHeight="1" thickBot="1" x14ac:dyDescent="0.85">
      <c r="A71" s="9"/>
      <c r="D71" s="4"/>
      <c r="E71" s="78" t="s">
        <v>109</v>
      </c>
      <c r="F71" s="10"/>
      <c r="G71" s="1"/>
      <c r="H71" s="1"/>
      <c r="I71" s="1"/>
    </row>
    <row r="72" spans="1:9" ht="17.149999999999999" customHeight="1" thickBot="1" x14ac:dyDescent="0.85">
      <c r="A72" s="9"/>
      <c r="D72" s="120" t="str">
        <f>B67&amp;" ADA Reasonable?"</f>
        <v>2022-23 ADA Reasonable?</v>
      </c>
      <c r="E72" s="34" t="s">
        <v>113</v>
      </c>
      <c r="F72" s="10"/>
      <c r="G72" s="545" t="s">
        <v>37</v>
      </c>
      <c r="H72" s="546"/>
      <c r="I72" s="547"/>
    </row>
    <row r="73" spans="1:9" ht="17.149999999999999" customHeight="1" thickBot="1" x14ac:dyDescent="0.85">
      <c r="A73" s="9"/>
      <c r="B73" s="20" t="str">
        <f>"Budget Year "&amp;B67</f>
        <v>Budget Year 2022-23</v>
      </c>
      <c r="C73" s="11"/>
      <c r="D73" s="20"/>
      <c r="E73" s="22" t="s">
        <v>108</v>
      </c>
      <c r="F73" s="27" t="s">
        <v>38</v>
      </c>
      <c r="G73" s="119" t="s">
        <v>39</v>
      </c>
      <c r="H73" s="117"/>
      <c r="I73" s="118"/>
    </row>
    <row r="74" spans="1:9" ht="17.149999999999999" customHeight="1" x14ac:dyDescent="0.7">
      <c r="B74" s="11" t="s">
        <v>40</v>
      </c>
      <c r="C74" s="11"/>
      <c r="D74" s="11"/>
      <c r="E74" s="24">
        <f>E50</f>
        <v>5.3511198808947072E-2</v>
      </c>
      <c r="F74" s="92">
        <f>H50</f>
        <v>7.028657616892911E-2</v>
      </c>
      <c r="G74" s="539"/>
      <c r="H74" s="540"/>
      <c r="I74" s="541"/>
    </row>
    <row r="75" spans="1:9" ht="17.149999999999999" customHeight="1" x14ac:dyDescent="0.7">
      <c r="B75" s="11" t="s">
        <v>110</v>
      </c>
      <c r="C75" s="11"/>
      <c r="D75" s="11"/>
      <c r="E75" s="403" t="str">
        <f>IF($E$53="Insufficient History","Insufficient History",IF(E74&lt;=$E$53,"Meets","Not Met"))</f>
        <v>Insufficient History</v>
      </c>
      <c r="F75" s="404" t="str">
        <f>IF($H$53="Insufficient History","Insufficient History",IF(F74&lt;=$H$53,"Meets","Not Met"))</f>
        <v>Insufficient History</v>
      </c>
      <c r="G75" s="539"/>
      <c r="H75" s="540"/>
      <c r="I75" s="541"/>
    </row>
    <row r="76" spans="1:9" ht="17.149999999999999" customHeight="1" x14ac:dyDescent="0.7">
      <c r="B76" s="11" t="s">
        <v>41</v>
      </c>
      <c r="C76" s="11"/>
      <c r="D76" s="11"/>
      <c r="E76" s="114">
        <f>C50</f>
        <v>3545.16</v>
      </c>
      <c r="F76" s="115">
        <f>F50</f>
        <v>3548</v>
      </c>
      <c r="G76" s="539"/>
      <c r="H76" s="540"/>
      <c r="I76" s="541"/>
    </row>
    <row r="77" spans="1:9" ht="17.149999999999999" customHeight="1" x14ac:dyDescent="0.7">
      <c r="B77" s="11"/>
      <c r="C77" s="11"/>
      <c r="D77" s="11"/>
      <c r="E77" s="31"/>
      <c r="F77" s="91"/>
      <c r="G77" s="542"/>
      <c r="H77" s="543"/>
      <c r="I77" s="544"/>
    </row>
    <row r="78" spans="1:9" s="4" customFormat="1" ht="17.149999999999999" customHeight="1" thickBot="1" x14ac:dyDescent="0.75">
      <c r="B78" s="26"/>
      <c r="C78" s="11"/>
      <c r="D78" s="11"/>
      <c r="E78" s="78" t="s">
        <v>109</v>
      </c>
      <c r="F78" s="23"/>
      <c r="G78" s="93"/>
      <c r="H78" s="11"/>
      <c r="I78" s="11"/>
    </row>
    <row r="79" spans="1:9" s="4" customFormat="1" ht="17.149999999999999" customHeight="1" thickBot="1" x14ac:dyDescent="0.75">
      <c r="B79" s="26"/>
      <c r="C79" s="11"/>
      <c r="D79" s="120" t="str">
        <f>B68&amp;" ADA Reasonable?"</f>
        <v>2023-24 ADA Reasonable?</v>
      </c>
      <c r="E79" s="34" t="s">
        <v>113</v>
      </c>
      <c r="F79" s="23"/>
      <c r="G79" s="545" t="s">
        <v>37</v>
      </c>
      <c r="H79" s="546"/>
      <c r="I79" s="547"/>
    </row>
    <row r="80" spans="1:9" s="4" customFormat="1" ht="17.149999999999999" customHeight="1" thickBot="1" x14ac:dyDescent="0.75">
      <c r="B80" s="20" t="str">
        <f>"1st Subsequent Year "&amp;B68</f>
        <v>1st Subsequent Year 2023-24</v>
      </c>
      <c r="C80" s="11"/>
      <c r="E80" s="22" t="s">
        <v>108</v>
      </c>
      <c r="F80" s="27" t="s">
        <v>38</v>
      </c>
      <c r="G80" s="119" t="s">
        <v>39</v>
      </c>
      <c r="H80" s="117"/>
      <c r="I80" s="118"/>
    </row>
    <row r="81" spans="1:10" s="4" customFormat="1" ht="17.149999999999999" customHeight="1" x14ac:dyDescent="0.6">
      <c r="B81" s="11" t="s">
        <v>40</v>
      </c>
      <c r="C81" s="11"/>
      <c r="D81" s="11"/>
      <c r="E81" s="24">
        <f>E51</f>
        <v>0</v>
      </c>
      <c r="F81" s="24">
        <f>H51</f>
        <v>0</v>
      </c>
      <c r="G81" s="539"/>
      <c r="H81" s="540"/>
      <c r="I81" s="541"/>
    </row>
    <row r="82" spans="1:10" s="4" customFormat="1" ht="17.149999999999999" customHeight="1" x14ac:dyDescent="0.6">
      <c r="B82" s="11" t="s">
        <v>110</v>
      </c>
      <c r="C82" s="11"/>
      <c r="D82" s="11"/>
      <c r="E82" s="403" t="str">
        <f>IF($E$53="Insufficient History","Insufficient History",IF(E81&lt;=$E$53,"Meets","Not Met"))</f>
        <v>Insufficient History</v>
      </c>
      <c r="F82" s="403" t="str">
        <f>IF($H$53="Insufficient History","Insufficient History",IF(F81&lt;=$H$53,"Meets","Not Met"))</f>
        <v>Insufficient History</v>
      </c>
      <c r="G82" s="539"/>
      <c r="H82" s="540"/>
      <c r="I82" s="541"/>
    </row>
    <row r="83" spans="1:10" s="4" customFormat="1" ht="17.149999999999999" customHeight="1" x14ac:dyDescent="0.6">
      <c r="B83" s="11" t="s">
        <v>41</v>
      </c>
      <c r="C83" s="11"/>
      <c r="D83" s="11"/>
      <c r="E83" s="114">
        <f>C51</f>
        <v>3545.16</v>
      </c>
      <c r="F83" s="116">
        <f>F51</f>
        <v>3548</v>
      </c>
      <c r="G83" s="539"/>
      <c r="H83" s="540"/>
      <c r="I83" s="541"/>
    </row>
    <row r="84" spans="1:10" s="4" customFormat="1" ht="17.149999999999999" customHeight="1" x14ac:dyDescent="0.6">
      <c r="B84" s="11"/>
      <c r="C84" s="11"/>
      <c r="D84" s="11"/>
      <c r="E84" s="31"/>
      <c r="F84" s="91"/>
      <c r="G84" s="542"/>
      <c r="H84" s="543"/>
      <c r="I84" s="544"/>
    </row>
    <row r="85" spans="1:10" s="4" customFormat="1" ht="17.149999999999999" customHeight="1" thickBot="1" x14ac:dyDescent="0.75">
      <c r="B85" s="26"/>
      <c r="C85" s="11"/>
      <c r="D85" s="11"/>
      <c r="E85" s="78" t="s">
        <v>109</v>
      </c>
      <c r="F85" s="23"/>
      <c r="G85" s="93"/>
      <c r="H85" s="11"/>
      <c r="I85" s="11"/>
    </row>
    <row r="86" spans="1:10" s="4" customFormat="1" ht="17.149999999999999" customHeight="1" thickBot="1" x14ac:dyDescent="0.75">
      <c r="B86" s="26"/>
      <c r="C86" s="11"/>
      <c r="D86" s="120" t="str">
        <f>B69&amp;" ADA Reasonable?"</f>
        <v>2024-25 ADA Reasonable?</v>
      </c>
      <c r="E86" s="34" t="s">
        <v>113</v>
      </c>
      <c r="F86" s="23"/>
      <c r="G86" s="545" t="s">
        <v>37</v>
      </c>
      <c r="H86" s="546"/>
      <c r="I86" s="547"/>
    </row>
    <row r="87" spans="1:10" s="4" customFormat="1" ht="17.149999999999999" customHeight="1" thickBot="1" x14ac:dyDescent="0.75">
      <c r="B87" s="20" t="str">
        <f>"2nd Subsequent Year "&amp;B69</f>
        <v>2nd Subsequent Year 2024-25</v>
      </c>
      <c r="C87" s="11"/>
      <c r="E87" s="22" t="s">
        <v>108</v>
      </c>
      <c r="F87" s="27" t="s">
        <v>38</v>
      </c>
      <c r="G87" s="119" t="s">
        <v>39</v>
      </c>
      <c r="H87" s="117"/>
      <c r="I87" s="118"/>
    </row>
    <row r="88" spans="1:10" s="4" customFormat="1" ht="17.149999999999999" customHeight="1" x14ac:dyDescent="0.6">
      <c r="B88" s="11" t="s">
        <v>40</v>
      </c>
      <c r="C88" s="11"/>
      <c r="D88" s="11"/>
      <c r="E88" s="24">
        <f>E52</f>
        <v>0</v>
      </c>
      <c r="F88" s="24">
        <f>H52</f>
        <v>0</v>
      </c>
      <c r="G88" s="539"/>
      <c r="H88" s="540"/>
      <c r="I88" s="541"/>
    </row>
    <row r="89" spans="1:10" s="4" customFormat="1" ht="17.149999999999999" customHeight="1" x14ac:dyDescent="0.6">
      <c r="B89" s="11" t="s">
        <v>110</v>
      </c>
      <c r="C89" s="11"/>
      <c r="D89" s="11"/>
      <c r="E89" s="403" t="str">
        <f>IF($E$53="Insufficient History","Insufficient History",IF(E88&lt;=$E$53,"Meets","Not Met"))</f>
        <v>Insufficient History</v>
      </c>
      <c r="F89" s="403" t="str">
        <f>IF($H$53="Insufficient History","Insufficient History",IF(F88&lt;=$H$53,"Meets","Not Met"))</f>
        <v>Insufficient History</v>
      </c>
      <c r="G89" s="539"/>
      <c r="H89" s="540"/>
      <c r="I89" s="541"/>
    </row>
    <row r="90" spans="1:10" s="4" customFormat="1" ht="17.149999999999999" customHeight="1" x14ac:dyDescent="0.6">
      <c r="B90" s="11" t="s">
        <v>41</v>
      </c>
      <c r="C90" s="11"/>
      <c r="D90" s="11"/>
      <c r="E90" s="114">
        <f>C52</f>
        <v>3545.16</v>
      </c>
      <c r="F90" s="116">
        <f>F52</f>
        <v>3548</v>
      </c>
      <c r="G90" s="539"/>
      <c r="H90" s="540"/>
      <c r="I90" s="541"/>
    </row>
    <row r="91" spans="1:10" s="4" customFormat="1" ht="17.149999999999999" customHeight="1" x14ac:dyDescent="0.55000000000000004">
      <c r="B91" s="13"/>
      <c r="E91" s="12"/>
      <c r="F91" s="10"/>
      <c r="G91" s="542"/>
      <c r="H91" s="543"/>
      <c r="I91" s="544"/>
    </row>
    <row r="92" spans="1:10" s="53" customFormat="1" ht="19.5" customHeight="1" x14ac:dyDescent="0.6">
      <c r="A92" s="49" t="s">
        <v>120</v>
      </c>
      <c r="B92" s="50"/>
      <c r="C92" s="50"/>
      <c r="D92" s="51"/>
      <c r="E92" s="51"/>
      <c r="F92" s="52"/>
      <c r="G92" s="50"/>
      <c r="H92" s="50"/>
      <c r="I92" s="50"/>
      <c r="J92" s="50"/>
    </row>
    <row r="93" spans="1:10" s="53" customFormat="1" ht="8.25" customHeight="1" thickBot="1" x14ac:dyDescent="0.75">
      <c r="A93" s="59"/>
      <c r="B93" s="100"/>
      <c r="C93" s="100"/>
      <c r="D93" s="101"/>
      <c r="E93" s="101"/>
      <c r="F93" s="102"/>
      <c r="G93" s="100"/>
      <c r="H93" s="100"/>
      <c r="I93" s="100"/>
      <c r="J93" s="100"/>
    </row>
    <row r="94" spans="1:10" ht="17.149999999999999" customHeight="1" x14ac:dyDescent="0.7">
      <c r="A94" s="15"/>
      <c r="B94" s="580" t="s">
        <v>146</v>
      </c>
      <c r="C94" s="580"/>
      <c r="D94" s="580"/>
      <c r="E94" s="580"/>
      <c r="F94" s="580"/>
      <c r="H94" s="594" t="s">
        <v>239</v>
      </c>
      <c r="I94" s="595"/>
      <c r="J94" s="596"/>
    </row>
    <row r="95" spans="1:10" ht="17.149999999999999" customHeight="1" x14ac:dyDescent="0.7">
      <c r="A95" s="15"/>
      <c r="B95" s="580"/>
      <c r="C95" s="580"/>
      <c r="D95" s="580"/>
      <c r="E95" s="580"/>
      <c r="F95" s="580"/>
      <c r="G95" s="364"/>
      <c r="H95" s="365" t="str">
        <f>B107</f>
        <v>2022-23</v>
      </c>
      <c r="I95" s="363" t="str">
        <f>B108</f>
        <v>2023-24</v>
      </c>
      <c r="J95" s="366" t="str">
        <f>B109</f>
        <v>2024-25</v>
      </c>
    </row>
    <row r="96" spans="1:10" ht="17.149999999999999" customHeight="1" thickBot="1" x14ac:dyDescent="0.85">
      <c r="A96" s="15"/>
      <c r="B96" s="94"/>
      <c r="C96" s="94"/>
      <c r="D96" s="94"/>
      <c r="E96" s="94"/>
      <c r="F96" s="84"/>
      <c r="G96" s="367"/>
      <c r="H96" s="368">
        <f>Data!C78</f>
        <v>2.5999999999999999E-2</v>
      </c>
      <c r="I96" s="369">
        <f>Data!D78</f>
        <v>4.2000000000000003E-2</v>
      </c>
      <c r="J96" s="370">
        <f>Data!E78</f>
        <v>7.0000000000000007E-2</v>
      </c>
    </row>
    <row r="97" spans="1:10" ht="16.5" thickBot="1" x14ac:dyDescent="0.85">
      <c r="A97" s="15"/>
      <c r="B97" s="83"/>
      <c r="D97" s="16"/>
      <c r="G97" s="29"/>
      <c r="H97" s="21"/>
      <c r="I97" s="29"/>
    </row>
    <row r="98" spans="1:10" ht="29.25" customHeight="1" thickBot="1" x14ac:dyDescent="0.85">
      <c r="B98" s="588" t="s">
        <v>121</v>
      </c>
      <c r="C98" s="588"/>
      <c r="D98" s="589"/>
      <c r="E98" s="47" t="s">
        <v>115</v>
      </c>
      <c r="F98" s="23"/>
      <c r="G98" s="181" t="s">
        <v>42</v>
      </c>
      <c r="H98" s="182" t="str">
        <f>IF($C$17="Positive - Charter will meet it's financial obligations in current and 2 subsequent years","Yes","No")</f>
        <v>Yes</v>
      </c>
      <c r="I98" s="183"/>
    </row>
    <row r="99" spans="1:10" ht="26.25" customHeight="1" x14ac:dyDescent="0.7">
      <c r="B99" s="11"/>
      <c r="C99" s="28"/>
      <c r="D99" s="60"/>
      <c r="E99" s="22"/>
      <c r="F99" s="23"/>
      <c r="G99" s="536" t="s">
        <v>116</v>
      </c>
      <c r="H99" s="536"/>
      <c r="I99" s="536"/>
      <c r="J99" s="536"/>
    </row>
    <row r="100" spans="1:10" ht="12.75" customHeight="1" thickBot="1" x14ac:dyDescent="0.85">
      <c r="B100" s="11"/>
      <c r="C100" s="28"/>
      <c r="D100" s="60"/>
      <c r="E100" s="22"/>
      <c r="F100" s="23"/>
      <c r="G100" s="184"/>
      <c r="H100" s="184"/>
      <c r="I100" s="184"/>
      <c r="J100" s="184"/>
    </row>
    <row r="101" spans="1:10" ht="17.149999999999999" customHeight="1" thickBot="1" x14ac:dyDescent="0.85">
      <c r="A101" s="4"/>
      <c r="B101" s="11"/>
      <c r="C101" s="23" t="s">
        <v>241</v>
      </c>
      <c r="D101" s="537" t="s">
        <v>43</v>
      </c>
      <c r="E101" s="538"/>
      <c r="F101" s="538"/>
      <c r="G101" s="538"/>
      <c r="H101" s="538"/>
      <c r="I101" s="538"/>
      <c r="J101" s="447"/>
    </row>
    <row r="102" spans="1:10" ht="17.149999999999999" customHeight="1" x14ac:dyDescent="0.7">
      <c r="B102" s="11"/>
      <c r="C102" s="11" t="s">
        <v>119</v>
      </c>
      <c r="D102" s="185" t="s">
        <v>44</v>
      </c>
      <c r="E102" s="186" t="s">
        <v>45</v>
      </c>
      <c r="F102" s="186" t="s">
        <v>46</v>
      </c>
      <c r="G102" s="186" t="s">
        <v>47</v>
      </c>
      <c r="H102" s="186" t="s">
        <v>48</v>
      </c>
      <c r="I102" s="186" t="s">
        <v>56</v>
      </c>
      <c r="J102" s="96" t="s">
        <v>49</v>
      </c>
    </row>
    <row r="103" spans="1:10" ht="17.149999999999999" customHeight="1" x14ac:dyDescent="0.7">
      <c r="B103" s="11"/>
      <c r="C103" s="11" t="s">
        <v>118</v>
      </c>
      <c r="D103" s="187" t="s">
        <v>51</v>
      </c>
      <c r="E103" s="188" t="s">
        <v>52</v>
      </c>
      <c r="F103" s="188" t="s">
        <v>53</v>
      </c>
      <c r="G103" s="10" t="s">
        <v>54</v>
      </c>
      <c r="H103" s="188" t="s">
        <v>55</v>
      </c>
      <c r="I103" s="363" t="s">
        <v>145</v>
      </c>
      <c r="J103" s="198" t="s">
        <v>57</v>
      </c>
    </row>
    <row r="104" spans="1:10" ht="17.149999999999999" customHeight="1" x14ac:dyDescent="0.7">
      <c r="B104" s="75" t="str">
        <f t="shared" ref="B104:B109" si="5">B47</f>
        <v>2019-20</v>
      </c>
      <c r="C104" s="396"/>
      <c r="D104" s="390">
        <v>0</v>
      </c>
      <c r="E104" s="393">
        <v>29388872</v>
      </c>
      <c r="F104" s="390">
        <v>27690509</v>
      </c>
      <c r="G104" s="389">
        <f>+D104+E104-F104</f>
        <v>1698363</v>
      </c>
      <c r="H104" s="389">
        <f t="shared" ref="H104:H109" si="6">E104-F104</f>
        <v>1698363</v>
      </c>
      <c r="I104" s="289"/>
      <c r="J104" s="298" t="str">
        <f t="shared" ref="J104:J106" si="7">IF(H104&lt;0,-H104/F104,"no deficit")</f>
        <v>no deficit</v>
      </c>
    </row>
    <row r="105" spans="1:10" ht="17.149999999999999" customHeight="1" x14ac:dyDescent="0.7">
      <c r="B105" s="75" t="str">
        <f t="shared" si="5"/>
        <v>2020-21</v>
      </c>
      <c r="C105" s="397"/>
      <c r="D105" s="391">
        <f>+G104</f>
        <v>1698363</v>
      </c>
      <c r="E105" s="391">
        <v>28358249</v>
      </c>
      <c r="F105" s="390">
        <v>28044513</v>
      </c>
      <c r="G105" s="389">
        <f>+D105+E105-F105</f>
        <v>2012099</v>
      </c>
      <c r="H105" s="389">
        <f t="shared" si="6"/>
        <v>313736</v>
      </c>
      <c r="I105" s="289"/>
      <c r="J105" s="298" t="str">
        <f t="shared" si="7"/>
        <v>no deficit</v>
      </c>
    </row>
    <row r="106" spans="1:10" ht="17.149999999999999" customHeight="1" x14ac:dyDescent="0.7">
      <c r="B106" s="75" t="str">
        <f t="shared" si="5"/>
        <v>2021-22</v>
      </c>
      <c r="C106" s="397"/>
      <c r="D106" s="391">
        <f>+G105</f>
        <v>2012099</v>
      </c>
      <c r="E106" s="391">
        <v>39503740</v>
      </c>
      <c r="F106" s="390">
        <v>38664908</v>
      </c>
      <c r="G106" s="389">
        <f>C106+D106+E106-F106</f>
        <v>2850931</v>
      </c>
      <c r="H106" s="389">
        <f t="shared" si="6"/>
        <v>838832</v>
      </c>
      <c r="I106" s="289"/>
      <c r="J106" s="298" t="str">
        <f t="shared" si="7"/>
        <v>no deficit</v>
      </c>
    </row>
    <row r="107" spans="1:10" ht="17.149999999999999" customHeight="1" x14ac:dyDescent="0.7">
      <c r="B107" s="79" t="str">
        <f t="shared" si="5"/>
        <v>2022-23</v>
      </c>
      <c r="C107" s="394">
        <f>Data!C46+Data!C47</f>
        <v>0</v>
      </c>
      <c r="D107" s="394">
        <f>Data!C43+Data!C44</f>
        <v>2850930.6899999976</v>
      </c>
      <c r="E107" s="394">
        <f>Data!C81</f>
        <v>39393065.789999999</v>
      </c>
      <c r="F107" s="395">
        <f>Data!C82</f>
        <v>38911884.140000001</v>
      </c>
      <c r="G107" s="395">
        <f>C107+D107+E107-F107</f>
        <v>3332112.3399999961</v>
      </c>
      <c r="H107" s="395">
        <f t="shared" si="6"/>
        <v>481181.64999999851</v>
      </c>
      <c r="I107" s="190" t="str">
        <f>IF(H107&gt;=0,"No",IF(J107&gt;H96,"Yes","No"))</f>
        <v>No</v>
      </c>
      <c r="J107" s="296" t="str">
        <f>IF(H107&lt;0,-H107/F107,"no deficit")</f>
        <v>no deficit</v>
      </c>
    </row>
    <row r="108" spans="1:10" ht="17.149999999999999" customHeight="1" x14ac:dyDescent="0.7">
      <c r="B108" s="79" t="str">
        <f t="shared" si="5"/>
        <v>2023-24</v>
      </c>
      <c r="C108" s="398"/>
      <c r="D108" s="394">
        <f>Data!C49</f>
        <v>3332112.3399999961</v>
      </c>
      <c r="E108" s="394">
        <f>Data!D81</f>
        <v>41397872.780000001</v>
      </c>
      <c r="F108" s="395">
        <f>Data!D82</f>
        <v>39328852.719999999</v>
      </c>
      <c r="G108" s="395">
        <f>C108+D108+E108-F108</f>
        <v>5401132.3999999985</v>
      </c>
      <c r="H108" s="395">
        <f t="shared" si="6"/>
        <v>2069020.0600000024</v>
      </c>
      <c r="I108" s="190" t="str">
        <f t="shared" ref="I108:I109" si="8">IF(H108&gt;=0,"No",IF(H108&lt;0,"Yes","No"))</f>
        <v>No</v>
      </c>
      <c r="J108" s="296" t="str">
        <f>IF(H108&lt;0,-H108/F108,"no deficit")</f>
        <v>no deficit</v>
      </c>
    </row>
    <row r="109" spans="1:10" ht="17.149999999999999" customHeight="1" x14ac:dyDescent="0.7">
      <c r="B109" s="80" t="str">
        <f t="shared" si="5"/>
        <v>2024-25</v>
      </c>
      <c r="C109" s="398"/>
      <c r="D109" s="394">
        <f>Data!D49</f>
        <v>5401132.3999999985</v>
      </c>
      <c r="E109" s="394">
        <f>Data!E81</f>
        <v>43045758.909999996</v>
      </c>
      <c r="F109" s="395">
        <f>Data!E82</f>
        <v>39372708.299999997</v>
      </c>
      <c r="G109" s="395">
        <f>C109+D109+E109-F109</f>
        <v>9074183.0099999979</v>
      </c>
      <c r="H109" s="395">
        <f t="shared" si="6"/>
        <v>3673050.6099999994</v>
      </c>
      <c r="I109" s="190" t="str">
        <f t="shared" si="8"/>
        <v>No</v>
      </c>
      <c r="J109" s="299" t="str">
        <f>IF(H109&lt;0,-H109/F109,"no deficit")</f>
        <v>no deficit</v>
      </c>
    </row>
    <row r="110" spans="1:10" ht="6.75" customHeight="1" x14ac:dyDescent="0.7">
      <c r="B110" s="27"/>
      <c r="C110" s="193"/>
      <c r="D110" s="193"/>
      <c r="E110" s="193"/>
      <c r="F110" s="193"/>
      <c r="G110" s="193"/>
      <c r="H110" s="193"/>
      <c r="I110" s="28"/>
      <c r="J110" s="194"/>
    </row>
    <row r="111" spans="1:10" ht="15.75" customHeight="1" x14ac:dyDescent="0.7">
      <c r="B111" s="18" t="str">
        <f>IF(ROUND(D107+C107,0)=ROUND(G106,0),"Current year beginning fund balance plus audit adjustments equals prior year audited ending fund balance.","Current year beginning balance plus audit adjustments does not equal prior year audited ending fund balance.")</f>
        <v>Current year beginning fund balance plus audit adjustments equals prior year audited ending fund balance.</v>
      </c>
      <c r="C111" s="193"/>
      <c r="D111" s="193"/>
      <c r="E111" s="193"/>
      <c r="F111" s="193"/>
      <c r="G111" s="193"/>
      <c r="H111" s="193"/>
      <c r="I111" s="28"/>
      <c r="J111" s="194"/>
    </row>
    <row r="112" spans="1:10" ht="16.5" thickBot="1" x14ac:dyDescent="0.85">
      <c r="B112" s="17"/>
      <c r="C112" s="193"/>
      <c r="D112" s="193"/>
      <c r="E112" s="193"/>
      <c r="F112" s="193"/>
      <c r="G112" s="193"/>
      <c r="H112" s="193"/>
      <c r="I112" s="28"/>
      <c r="J112" s="194"/>
    </row>
    <row r="113" spans="2:10" ht="17.149999999999999" customHeight="1" thickBot="1" x14ac:dyDescent="0.85">
      <c r="B113" s="559" t="s">
        <v>209</v>
      </c>
      <c r="C113" s="560"/>
      <c r="D113" s="560"/>
      <c r="E113" s="560"/>
      <c r="F113" s="560"/>
      <c r="G113" s="560"/>
      <c r="H113" s="560"/>
      <c r="I113" s="560"/>
      <c r="J113" s="561"/>
    </row>
    <row r="114" spans="2:10" ht="33" customHeight="1" x14ac:dyDescent="0.7">
      <c r="B114" s="556"/>
      <c r="C114" s="557"/>
      <c r="D114" s="557"/>
      <c r="E114" s="557"/>
      <c r="F114" s="557"/>
      <c r="G114" s="557"/>
      <c r="H114" s="557"/>
      <c r="I114" s="557"/>
      <c r="J114" s="558"/>
    </row>
    <row r="115" spans="2:10" ht="17.149999999999999" customHeight="1" thickBot="1" x14ac:dyDescent="0.85">
      <c r="B115" s="23"/>
      <c r="C115" s="23"/>
      <c r="D115" s="195"/>
      <c r="E115" s="195"/>
      <c r="F115" s="196"/>
      <c r="G115" s="196"/>
      <c r="H115" s="195"/>
      <c r="I115" s="27"/>
      <c r="J115" s="194"/>
    </row>
    <row r="116" spans="2:10" ht="17.149999999999999" customHeight="1" thickBot="1" x14ac:dyDescent="0.85">
      <c r="B116" s="23"/>
      <c r="C116" s="23" t="s">
        <v>241</v>
      </c>
      <c r="D116" s="537" t="s">
        <v>58</v>
      </c>
      <c r="E116" s="538"/>
      <c r="F116" s="538"/>
      <c r="G116" s="538"/>
      <c r="H116" s="447"/>
      <c r="I116" s="27"/>
      <c r="J116" s="27"/>
    </row>
    <row r="117" spans="2:10" ht="17.149999999999999" customHeight="1" x14ac:dyDescent="0.7">
      <c r="B117" s="11"/>
      <c r="C117" s="11" t="s">
        <v>119</v>
      </c>
      <c r="D117" s="185" t="s">
        <v>44</v>
      </c>
      <c r="E117" s="186" t="s">
        <v>45</v>
      </c>
      <c r="F117" s="186" t="s">
        <v>46</v>
      </c>
      <c r="G117" s="186" t="s">
        <v>47</v>
      </c>
      <c r="H117" s="197" t="s">
        <v>48</v>
      </c>
      <c r="I117" s="4"/>
      <c r="J117" s="186"/>
    </row>
    <row r="118" spans="2:10" ht="17.149999999999999" customHeight="1" x14ac:dyDescent="0.7">
      <c r="B118" s="11"/>
      <c r="C118" s="11" t="s">
        <v>118</v>
      </c>
      <c r="D118" s="187" t="s">
        <v>51</v>
      </c>
      <c r="E118" s="188" t="s">
        <v>52</v>
      </c>
      <c r="F118" s="188" t="s">
        <v>53</v>
      </c>
      <c r="G118" s="10" t="s">
        <v>54</v>
      </c>
      <c r="H118" s="198" t="s">
        <v>55</v>
      </c>
      <c r="I118" s="10"/>
      <c r="J118" s="199"/>
    </row>
    <row r="119" spans="2:10" ht="17.149999999999999" customHeight="1" x14ac:dyDescent="0.7">
      <c r="B119" s="75" t="str">
        <f t="shared" ref="B119:B124" si="9">B104</f>
        <v>2019-20</v>
      </c>
      <c r="C119" s="189"/>
      <c r="D119" s="390">
        <v>0</v>
      </c>
      <c r="E119" s="390">
        <v>2121647</v>
      </c>
      <c r="F119" s="390">
        <v>2121647</v>
      </c>
      <c r="G119" s="389">
        <f>+D119+E119-F119</f>
        <v>0</v>
      </c>
      <c r="H119" s="389">
        <f t="shared" ref="H119:H124" si="10">E119-F119</f>
        <v>0</v>
      </c>
      <c r="I119" s="27"/>
      <c r="J119" s="194"/>
    </row>
    <row r="120" spans="2:10" ht="17.149999999999999" customHeight="1" x14ac:dyDescent="0.7">
      <c r="B120" s="75" t="str">
        <f t="shared" si="9"/>
        <v>2020-21</v>
      </c>
      <c r="C120" s="191"/>
      <c r="D120" s="391">
        <v>0</v>
      </c>
      <c r="E120" s="391">
        <v>4357179</v>
      </c>
      <c r="F120" s="390">
        <v>4357179</v>
      </c>
      <c r="G120" s="389">
        <f>+D120+E120-F120</f>
        <v>0</v>
      </c>
      <c r="H120" s="389">
        <f t="shared" si="10"/>
        <v>0</v>
      </c>
      <c r="I120" s="28"/>
      <c r="J120" s="194"/>
    </row>
    <row r="121" spans="2:10" ht="17.149999999999999" customHeight="1" x14ac:dyDescent="0.7">
      <c r="B121" s="75" t="str">
        <f t="shared" si="9"/>
        <v>2021-22</v>
      </c>
      <c r="C121" s="191"/>
      <c r="D121" s="392">
        <v>0</v>
      </c>
      <c r="E121" s="392">
        <v>7560092</v>
      </c>
      <c r="F121" s="393">
        <v>7560092</v>
      </c>
      <c r="G121" s="389">
        <f>C121+D121+E121-F121</f>
        <v>0</v>
      </c>
      <c r="H121" s="389">
        <f t="shared" si="10"/>
        <v>0</v>
      </c>
      <c r="I121" s="200"/>
      <c r="J121" s="194"/>
    </row>
    <row r="122" spans="2:10" ht="17.149999999999999" customHeight="1" x14ac:dyDescent="0.7">
      <c r="B122" s="79" t="str">
        <f t="shared" si="9"/>
        <v>2022-23</v>
      </c>
      <c r="C122" s="201">
        <f>Data!C65+Data!C66</f>
        <v>0</v>
      </c>
      <c r="D122" s="394">
        <f>Data!C64</f>
        <v>0</v>
      </c>
      <c r="E122" s="394">
        <f>Data!C84</f>
        <v>4199074.99</v>
      </c>
      <c r="F122" s="395">
        <f>Data!C85</f>
        <v>4199075.040000001</v>
      </c>
      <c r="G122" s="395">
        <f>C122+D122+E122-F122</f>
        <v>-5.000000074505806E-2</v>
      </c>
      <c r="H122" s="395">
        <f t="shared" si="10"/>
        <v>-5.000000074505806E-2</v>
      </c>
      <c r="I122" s="28"/>
      <c r="J122" s="194"/>
    </row>
    <row r="123" spans="2:10" ht="17.149999999999999" customHeight="1" x14ac:dyDescent="0.7">
      <c r="B123" s="79" t="str">
        <f t="shared" si="9"/>
        <v>2023-24</v>
      </c>
      <c r="C123" s="191"/>
      <c r="D123" s="394">
        <f>Data!C68</f>
        <v>0</v>
      </c>
      <c r="E123" s="394">
        <f>Data!D84</f>
        <v>3736645.0300000003</v>
      </c>
      <c r="F123" s="395">
        <f>Data!D85</f>
        <v>3736645.0400000005</v>
      </c>
      <c r="G123" s="395">
        <f>C123+D123+E123-F123</f>
        <v>-1.0000000242143869E-2</v>
      </c>
      <c r="H123" s="395">
        <f t="shared" si="10"/>
        <v>-1.0000000242143869E-2</v>
      </c>
      <c r="I123" s="202"/>
      <c r="J123" s="194"/>
    </row>
    <row r="124" spans="2:10" ht="17.149999999999999" customHeight="1" x14ac:dyDescent="0.7">
      <c r="B124" s="80" t="str">
        <f t="shared" si="9"/>
        <v>2024-25</v>
      </c>
      <c r="C124" s="191"/>
      <c r="D124" s="394">
        <f>Data!D68</f>
        <v>0</v>
      </c>
      <c r="E124" s="394">
        <f>Data!E84</f>
        <v>3736645.0300000003</v>
      </c>
      <c r="F124" s="395">
        <f>Data!E85</f>
        <v>3736645.0400000005</v>
      </c>
      <c r="G124" s="395">
        <f>C124+D124+E124-F124</f>
        <v>-1.0000000242143869E-2</v>
      </c>
      <c r="H124" s="395">
        <f t="shared" si="10"/>
        <v>-1.0000000242143869E-2</v>
      </c>
      <c r="I124" s="28"/>
      <c r="J124" s="194"/>
    </row>
    <row r="125" spans="2:10" ht="8.25" customHeight="1" x14ac:dyDescent="0.7">
      <c r="B125" s="27"/>
      <c r="C125" s="193"/>
      <c r="D125" s="193"/>
      <c r="E125" s="193"/>
      <c r="F125" s="193"/>
      <c r="G125" s="193"/>
      <c r="H125" s="203"/>
      <c r="I125" s="28"/>
      <c r="J125" s="194"/>
    </row>
    <row r="126" spans="2:10" ht="17.149999999999999" customHeight="1" x14ac:dyDescent="0.7">
      <c r="B126" s="18" t="str">
        <f>IF(ROUND(D122+C122,0)=ROUND(G121,0),"Current year beginning fund balance plus audit adjustments equals prior year audited ending fund balance.","Current year beginning balance plus audit adjustments does not equal prior year audited ending fund balance.")</f>
        <v>Current year beginning fund balance plus audit adjustments equals prior year audited ending fund balance.</v>
      </c>
      <c r="C126" s="193"/>
      <c r="D126" s="193"/>
      <c r="E126" s="193"/>
      <c r="F126" s="193"/>
      <c r="G126" s="193"/>
      <c r="H126" s="193"/>
      <c r="I126" s="28"/>
      <c r="J126" s="194"/>
    </row>
    <row r="127" spans="2:10" ht="17.149999999999999" customHeight="1" thickBot="1" x14ac:dyDescent="0.85">
      <c r="B127" s="27"/>
      <c r="C127" s="193"/>
      <c r="D127" s="193"/>
      <c r="E127" s="193"/>
      <c r="F127" s="193"/>
      <c r="G127" s="193"/>
      <c r="H127" s="193"/>
      <c r="I127" s="28"/>
      <c r="J127" s="194"/>
    </row>
    <row r="128" spans="2:10" ht="17.149999999999999" customHeight="1" thickBot="1" x14ac:dyDescent="0.85">
      <c r="B128" s="559" t="s">
        <v>208</v>
      </c>
      <c r="C128" s="560"/>
      <c r="D128" s="560"/>
      <c r="E128" s="560"/>
      <c r="F128" s="560"/>
      <c r="G128" s="560"/>
      <c r="H128" s="560"/>
      <c r="I128" s="560"/>
      <c r="J128" s="561"/>
    </row>
    <row r="129" spans="1:10" ht="33" customHeight="1" x14ac:dyDescent="0.7">
      <c r="B129" s="556"/>
      <c r="C129" s="557"/>
      <c r="D129" s="557"/>
      <c r="E129" s="557"/>
      <c r="F129" s="557"/>
      <c r="G129" s="557"/>
      <c r="H129" s="557"/>
      <c r="I129" s="557"/>
      <c r="J129" s="558"/>
    </row>
    <row r="130" spans="1:10" ht="17.149999999999999" customHeight="1" thickBot="1" x14ac:dyDescent="0.85">
      <c r="B130" s="23"/>
      <c r="C130" s="204"/>
      <c r="D130" s="204"/>
      <c r="E130" s="204"/>
      <c r="F130" s="204"/>
      <c r="G130" s="204"/>
      <c r="H130" s="205"/>
      <c r="I130" s="28"/>
      <c r="J130" s="194"/>
    </row>
    <row r="131" spans="1:10" ht="17.149999999999999" customHeight="1" thickBot="1" x14ac:dyDescent="0.85">
      <c r="A131" s="4"/>
      <c r="B131" s="11"/>
      <c r="C131" s="23" t="s">
        <v>241</v>
      </c>
      <c r="D131" s="537" t="s">
        <v>59</v>
      </c>
      <c r="E131" s="538"/>
      <c r="F131" s="538"/>
      <c r="G131" s="538"/>
      <c r="H131" s="447"/>
      <c r="I131" s="27"/>
      <c r="J131" s="206"/>
    </row>
    <row r="132" spans="1:10" ht="17.149999999999999" customHeight="1" x14ac:dyDescent="0.7">
      <c r="B132" s="11"/>
      <c r="C132" s="11" t="s">
        <v>119</v>
      </c>
      <c r="D132" s="185" t="s">
        <v>44</v>
      </c>
      <c r="E132" s="186" t="s">
        <v>45</v>
      </c>
      <c r="F132" s="186" t="s">
        <v>46</v>
      </c>
      <c r="G132" s="186" t="s">
        <v>47</v>
      </c>
      <c r="H132" s="197" t="s">
        <v>48</v>
      </c>
      <c r="I132" s="4"/>
      <c r="J132" s="186"/>
    </row>
    <row r="133" spans="1:10" ht="17.149999999999999" customHeight="1" x14ac:dyDescent="0.7">
      <c r="B133" s="11"/>
      <c r="C133" s="11" t="s">
        <v>118</v>
      </c>
      <c r="D133" s="187" t="s">
        <v>51</v>
      </c>
      <c r="E133" s="188" t="s">
        <v>52</v>
      </c>
      <c r="F133" s="188" t="s">
        <v>53</v>
      </c>
      <c r="G133" s="10" t="s">
        <v>54</v>
      </c>
      <c r="H133" s="198" t="s">
        <v>55</v>
      </c>
      <c r="I133" s="10"/>
      <c r="J133" s="199"/>
    </row>
    <row r="134" spans="1:10" ht="17.149999999999999" customHeight="1" x14ac:dyDescent="0.7">
      <c r="B134" s="75" t="str">
        <f t="shared" ref="B134:B139" si="11">B119</f>
        <v>2019-20</v>
      </c>
      <c r="C134" s="207"/>
      <c r="D134" s="389">
        <f t="shared" ref="D134:H136" si="12">D104+D119</f>
        <v>0</v>
      </c>
      <c r="E134" s="389">
        <f t="shared" si="12"/>
        <v>31510519</v>
      </c>
      <c r="F134" s="389">
        <f t="shared" si="12"/>
        <v>29812156</v>
      </c>
      <c r="G134" s="389">
        <f t="shared" si="12"/>
        <v>1698363</v>
      </c>
      <c r="H134" s="389">
        <f t="shared" si="12"/>
        <v>1698363</v>
      </c>
      <c r="I134" s="28"/>
      <c r="J134" s="194"/>
    </row>
    <row r="135" spans="1:10" ht="17.149999999999999" customHeight="1" x14ac:dyDescent="0.7">
      <c r="B135" s="75" t="str">
        <f t="shared" si="11"/>
        <v>2020-21</v>
      </c>
      <c r="C135" s="208"/>
      <c r="D135" s="389">
        <f t="shared" si="12"/>
        <v>1698363</v>
      </c>
      <c r="E135" s="389">
        <f t="shared" si="12"/>
        <v>32715428</v>
      </c>
      <c r="F135" s="389">
        <f t="shared" si="12"/>
        <v>32401692</v>
      </c>
      <c r="G135" s="389">
        <f t="shared" si="12"/>
        <v>2012099</v>
      </c>
      <c r="H135" s="389">
        <f t="shared" si="12"/>
        <v>313736</v>
      </c>
      <c r="I135" s="28"/>
      <c r="J135" s="194"/>
    </row>
    <row r="136" spans="1:10" ht="17.149999999999999" customHeight="1" x14ac:dyDescent="0.7">
      <c r="B136" s="75" t="str">
        <f t="shared" si="11"/>
        <v>2021-22</v>
      </c>
      <c r="C136" s="208"/>
      <c r="D136" s="389">
        <f t="shared" si="12"/>
        <v>2012099</v>
      </c>
      <c r="E136" s="389">
        <f t="shared" si="12"/>
        <v>47063832</v>
      </c>
      <c r="F136" s="389">
        <f t="shared" si="12"/>
        <v>46225000</v>
      </c>
      <c r="G136" s="389">
        <f t="shared" si="12"/>
        <v>2850931</v>
      </c>
      <c r="H136" s="389">
        <f t="shared" si="12"/>
        <v>838832</v>
      </c>
      <c r="I136" s="28"/>
      <c r="J136" s="194"/>
    </row>
    <row r="137" spans="1:10" ht="17.149999999999999" customHeight="1" x14ac:dyDescent="0.7">
      <c r="B137" s="79" t="str">
        <f t="shared" si="11"/>
        <v>2022-23</v>
      </c>
      <c r="C137" s="201">
        <f t="shared" ref="C137:F139" si="13">C107+C122</f>
        <v>0</v>
      </c>
      <c r="D137" s="389">
        <f t="shared" si="13"/>
        <v>2850930.6899999976</v>
      </c>
      <c r="E137" s="389">
        <f t="shared" si="13"/>
        <v>43592140.780000001</v>
      </c>
      <c r="F137" s="389">
        <f t="shared" si="13"/>
        <v>43110959.18</v>
      </c>
      <c r="G137" s="389">
        <f>C137+D137+E137-F137</f>
        <v>3332112.2899999991</v>
      </c>
      <c r="H137" s="389">
        <f>E137-F137</f>
        <v>481181.60000000149</v>
      </c>
      <c r="I137" s="28"/>
      <c r="J137" s="194"/>
    </row>
    <row r="138" spans="1:10" ht="17.149999999999999" customHeight="1" x14ac:dyDescent="0.7">
      <c r="B138" s="79" t="str">
        <f t="shared" si="11"/>
        <v>2023-24</v>
      </c>
      <c r="C138" s="208"/>
      <c r="D138" s="389">
        <f t="shared" si="13"/>
        <v>3332112.3399999961</v>
      </c>
      <c r="E138" s="389">
        <f t="shared" si="13"/>
        <v>45134517.810000002</v>
      </c>
      <c r="F138" s="389">
        <f t="shared" si="13"/>
        <v>43065497.759999998</v>
      </c>
      <c r="G138" s="389">
        <f>G108+G123</f>
        <v>5401132.3899999987</v>
      </c>
      <c r="H138" s="389">
        <f>H108+H123</f>
        <v>2069020.0500000021</v>
      </c>
      <c r="I138" s="28"/>
      <c r="J138" s="194"/>
    </row>
    <row r="139" spans="1:10" ht="17.149999999999999" customHeight="1" x14ac:dyDescent="0.7">
      <c r="B139" s="80" t="str">
        <f t="shared" si="11"/>
        <v>2024-25</v>
      </c>
      <c r="C139" s="208"/>
      <c r="D139" s="389">
        <f t="shared" si="13"/>
        <v>5401132.3999999985</v>
      </c>
      <c r="E139" s="389">
        <f t="shared" si="13"/>
        <v>46782403.939999998</v>
      </c>
      <c r="F139" s="389">
        <f t="shared" si="13"/>
        <v>43109353.339999996</v>
      </c>
      <c r="G139" s="389">
        <f>G109+G124</f>
        <v>9074182.9999999981</v>
      </c>
      <c r="H139" s="389">
        <f>H109+H124</f>
        <v>3673050.5999999992</v>
      </c>
      <c r="I139" s="28"/>
      <c r="J139" s="194"/>
    </row>
    <row r="140" spans="1:10" ht="17.149999999999999" customHeight="1" thickBot="1" x14ac:dyDescent="0.85">
      <c r="B140" s="23"/>
      <c r="C140" s="195"/>
      <c r="D140" s="195"/>
      <c r="E140" s="196"/>
      <c r="F140" s="196"/>
      <c r="G140" s="195"/>
      <c r="H140" s="28"/>
      <c r="I140" s="194"/>
    </row>
    <row r="141" spans="1:10" ht="33.75" customHeight="1" thickBot="1" x14ac:dyDescent="0.85">
      <c r="B141" s="465" t="s">
        <v>207</v>
      </c>
      <c r="C141" s="466"/>
      <c r="D141" s="466"/>
      <c r="E141" s="466"/>
      <c r="F141" s="466"/>
      <c r="G141" s="466"/>
      <c r="H141" s="466"/>
      <c r="I141" s="466"/>
      <c r="J141" s="467"/>
    </row>
    <row r="142" spans="1:10" ht="39.75" customHeight="1" x14ac:dyDescent="0.7">
      <c r="B142" s="600"/>
      <c r="C142" s="601"/>
      <c r="D142" s="601"/>
      <c r="E142" s="601"/>
      <c r="F142" s="601"/>
      <c r="G142" s="601"/>
      <c r="H142" s="601"/>
      <c r="I142" s="601"/>
      <c r="J142" s="602"/>
    </row>
    <row r="143" spans="1:10" ht="17.149999999999999" customHeight="1" x14ac:dyDescent="0.7">
      <c r="B143" s="209"/>
      <c r="C143" s="210"/>
      <c r="D143" s="210"/>
      <c r="E143" s="211"/>
      <c r="F143" s="4" t="s">
        <v>24</v>
      </c>
      <c r="G143" s="212"/>
    </row>
    <row r="144" spans="1:10" s="53" customFormat="1" ht="19.5" customHeight="1" x14ac:dyDescent="0.6">
      <c r="A144" s="49" t="s">
        <v>173</v>
      </c>
      <c r="B144" s="50"/>
      <c r="C144" s="50"/>
      <c r="D144" s="51"/>
      <c r="E144" s="51"/>
      <c r="F144" s="52"/>
      <c r="G144" s="50"/>
      <c r="H144" s="50"/>
      <c r="I144" s="50"/>
      <c r="J144" s="50"/>
    </row>
    <row r="145" spans="1:12" s="4" customFormat="1" ht="17.149999999999999" customHeight="1" x14ac:dyDescent="0.7">
      <c r="B145" s="17" t="s">
        <v>61</v>
      </c>
      <c r="C145" s="120"/>
      <c r="D145" s="120"/>
      <c r="E145" s="22"/>
      <c r="F145" s="23"/>
      <c r="G145" s="213"/>
      <c r="I145" s="213"/>
      <c r="J145" s="1"/>
      <c r="K145" s="1"/>
      <c r="L145" s="1"/>
    </row>
    <row r="146" spans="1:12" s="4" customFormat="1" ht="17.149999999999999" customHeight="1" x14ac:dyDescent="0.7">
      <c r="B146" s="120"/>
      <c r="C146" s="120"/>
      <c r="D146" s="120"/>
      <c r="E146" s="514" t="str">
        <f>B137</f>
        <v>2022-23</v>
      </c>
      <c r="F146" s="599"/>
      <c r="G146" s="514" t="str">
        <f>B138</f>
        <v>2023-24</v>
      </c>
      <c r="H146" s="599"/>
      <c r="I146" s="514" t="str">
        <f>B139</f>
        <v>2024-25</v>
      </c>
      <c r="J146" s="514"/>
      <c r="K146" s="1"/>
      <c r="L146" s="1"/>
    </row>
    <row r="147" spans="1:12" s="4" customFormat="1" ht="17.149999999999999" customHeight="1" x14ac:dyDescent="0.7">
      <c r="B147" s="120"/>
      <c r="C147" s="120"/>
      <c r="D147" s="120"/>
      <c r="E147" s="239" t="s">
        <v>62</v>
      </c>
      <c r="F147" s="240" t="s">
        <v>63</v>
      </c>
      <c r="G147" s="239" t="s">
        <v>62</v>
      </c>
      <c r="H147" s="240" t="s">
        <v>63</v>
      </c>
      <c r="I147" s="239" t="s">
        <v>62</v>
      </c>
      <c r="J147" s="240" t="s">
        <v>63</v>
      </c>
      <c r="K147" s="1"/>
      <c r="L147" s="1"/>
    </row>
    <row r="148" spans="1:12" ht="17.149999999999999" customHeight="1" x14ac:dyDescent="0.7">
      <c r="A148" s="4"/>
      <c r="B148" s="515" t="s">
        <v>205</v>
      </c>
      <c r="C148" s="515"/>
      <c r="D148" s="515"/>
      <c r="E148" s="241">
        <f>E107</f>
        <v>39393065.789999999</v>
      </c>
      <c r="F148" s="241">
        <f>E122</f>
        <v>4199074.99</v>
      </c>
      <c r="G148" s="242">
        <f>E108</f>
        <v>41397872.780000001</v>
      </c>
      <c r="H148" s="242">
        <f>E123</f>
        <v>3736645.0300000003</v>
      </c>
      <c r="I148" s="242">
        <f>E109</f>
        <v>43045758.909999996</v>
      </c>
      <c r="J148" s="242">
        <f>E124</f>
        <v>3736645.0300000003</v>
      </c>
    </row>
    <row r="149" spans="1:12" ht="17.149999999999999" customHeight="1" x14ac:dyDescent="0.7">
      <c r="A149" s="4"/>
      <c r="B149" s="515" t="s">
        <v>206</v>
      </c>
      <c r="C149" s="515"/>
      <c r="D149" s="515"/>
      <c r="E149" s="241">
        <f>F107</f>
        <v>38911884.140000001</v>
      </c>
      <c r="F149" s="241">
        <f>F122</f>
        <v>4199075.040000001</v>
      </c>
      <c r="G149" s="242">
        <f>F108</f>
        <v>39328852.719999999</v>
      </c>
      <c r="H149" s="242">
        <f>F123</f>
        <v>3736645.0400000005</v>
      </c>
      <c r="I149" s="242">
        <f>F109</f>
        <v>39372708.299999997</v>
      </c>
      <c r="J149" s="242">
        <f>F124</f>
        <v>3736645.0400000005</v>
      </c>
    </row>
    <row r="150" spans="1:12" ht="17.149999999999999" customHeight="1" x14ac:dyDescent="0.7">
      <c r="A150" s="4"/>
      <c r="B150" s="515" t="s">
        <v>64</v>
      </c>
      <c r="C150" s="515"/>
      <c r="D150" s="515"/>
      <c r="E150" s="192">
        <f>C107+D107</f>
        <v>2850930.6899999976</v>
      </c>
      <c r="F150" s="192">
        <f>D122</f>
        <v>0</v>
      </c>
      <c r="G150" s="241">
        <f>D108</f>
        <v>3332112.3399999961</v>
      </c>
      <c r="H150" s="241">
        <f>D123</f>
        <v>0</v>
      </c>
      <c r="I150" s="241">
        <f>G151</f>
        <v>5401132.3999999985</v>
      </c>
      <c r="J150" s="241">
        <f>H151</f>
        <v>-1.0000000242143869E-2</v>
      </c>
    </row>
    <row r="151" spans="1:12" ht="17.149999999999999" customHeight="1" thickBot="1" x14ac:dyDescent="0.85">
      <c r="A151" s="4"/>
      <c r="B151" s="575" t="s">
        <v>65</v>
      </c>
      <c r="C151" s="575"/>
      <c r="D151" s="575"/>
      <c r="E151" s="386">
        <f>G107</f>
        <v>3332112.3399999961</v>
      </c>
      <c r="F151" s="386">
        <f>G122</f>
        <v>-5.000000074505806E-2</v>
      </c>
      <c r="G151" s="386">
        <f>G108</f>
        <v>5401132.3999999985</v>
      </c>
      <c r="H151" s="386">
        <f>G123</f>
        <v>-1.0000000242143869E-2</v>
      </c>
      <c r="I151" s="386">
        <f>I150+I148-I149</f>
        <v>9074183.0099999979</v>
      </c>
      <c r="J151" s="386">
        <f>J150+J148-J149</f>
        <v>-2.0000000484287739E-2</v>
      </c>
    </row>
    <row r="152" spans="1:12" ht="33" customHeight="1" thickTop="1" x14ac:dyDescent="0.7">
      <c r="A152" s="4"/>
      <c r="B152" s="585" t="s">
        <v>126</v>
      </c>
      <c r="C152" s="585"/>
      <c r="D152" s="586"/>
      <c r="E152" s="243">
        <f>Data!C51+Data!C52+Data!C53+Data!C54+Data!C55+Data!C56+Data!C57</f>
        <v>0</v>
      </c>
      <c r="F152" s="244"/>
      <c r="G152" s="243">
        <f>Data!D51+Data!D52+Data!D53+Data!D54+Data!D55+Data!D56+Data!D57</f>
        <v>0</v>
      </c>
      <c r="H152" s="244"/>
      <c r="I152" s="243">
        <f>Data!E51+Data!E52+Data!E53+Data!E54+Data!E55+Data!E56+Data!E57</f>
        <v>0</v>
      </c>
      <c r="J152" s="244"/>
    </row>
    <row r="153" spans="1:12" ht="17.149999999999999" customHeight="1" x14ac:dyDescent="0.7">
      <c r="A153" s="4"/>
      <c r="B153" s="214" t="s">
        <v>124</v>
      </c>
      <c r="C153" s="215"/>
      <c r="D153" s="215"/>
      <c r="E153" s="241">
        <f>Data!C58</f>
        <v>0</v>
      </c>
      <c r="F153" s="245"/>
      <c r="G153" s="241">
        <f>Data!D58</f>
        <v>0</v>
      </c>
      <c r="H153" s="245"/>
      <c r="I153" s="241">
        <f>Data!E58</f>
        <v>0</v>
      </c>
      <c r="J153" s="245"/>
    </row>
    <row r="154" spans="1:12" ht="17.149999999999999" customHeight="1" thickBot="1" x14ac:dyDescent="0.85">
      <c r="A154" s="4"/>
      <c r="B154" s="214" t="s">
        <v>125</v>
      </c>
      <c r="C154" s="215"/>
      <c r="D154" s="215"/>
      <c r="E154" s="246">
        <f>Data!C59</f>
        <v>3332112.3399999961</v>
      </c>
      <c r="F154" s="245"/>
      <c r="G154" s="246">
        <f>Data!D59</f>
        <v>5401132.3999999985</v>
      </c>
      <c r="H154" s="245"/>
      <c r="I154" s="246">
        <f>Data!E59</f>
        <v>9074183.0099999979</v>
      </c>
      <c r="J154" s="245"/>
    </row>
    <row r="155" spans="1:12" s="9" customFormat="1" ht="33" customHeight="1" thickBot="1" x14ac:dyDescent="0.85">
      <c r="A155" s="46"/>
      <c r="B155" s="591" t="s">
        <v>257</v>
      </c>
      <c r="C155" s="591"/>
      <c r="D155" s="592"/>
      <c r="E155" s="387">
        <f>SUM(E153:E154)</f>
        <v>3332112.3399999961</v>
      </c>
      <c r="F155" s="247"/>
      <c r="G155" s="387">
        <f>SUM(G153:G154)</f>
        <v>5401132.3999999985</v>
      </c>
      <c r="H155" s="247"/>
      <c r="I155" s="387">
        <f>SUM(I153:I154)</f>
        <v>9074183.0099999979</v>
      </c>
      <c r="J155" s="248"/>
    </row>
    <row r="156" spans="1:12" ht="17.149999999999999" customHeight="1" thickBot="1" x14ac:dyDescent="0.85">
      <c r="A156" s="4"/>
      <c r="B156" s="25"/>
      <c r="C156" s="11"/>
      <c r="D156" s="217" t="s">
        <v>123</v>
      </c>
      <c r="E156" s="218">
        <f>ROUND($E$155/(E149+F149),4)</f>
        <v>7.7299999999999994E-2</v>
      </c>
      <c r="F156" s="219"/>
      <c r="G156" s="218">
        <f>$G$155/(G149+H149)</f>
        <v>0.12541669505598207</v>
      </c>
      <c r="H156" s="220"/>
      <c r="I156" s="221">
        <f>$I$155/(I149+J149)</f>
        <v>0.21049220892813325</v>
      </c>
      <c r="J156" s="222"/>
    </row>
    <row r="157" spans="1:12" ht="17.149999999999999" customHeight="1" x14ac:dyDescent="0.7">
      <c r="A157" s="4"/>
      <c r="B157" s="25"/>
      <c r="C157" s="11"/>
      <c r="D157" s="223"/>
      <c r="E157" s="219"/>
      <c r="F157" s="219"/>
      <c r="G157" s="224"/>
      <c r="H157" s="220"/>
      <c r="I157" s="225"/>
      <c r="J157" s="222"/>
    </row>
    <row r="158" spans="1:12" ht="17.149999999999999" customHeight="1" x14ac:dyDescent="0.7">
      <c r="A158" s="4"/>
      <c r="B158" s="17" t="s">
        <v>122</v>
      </c>
      <c r="C158" s="11"/>
      <c r="D158" s="249">
        <f>IF(Data!C75="",Data!C74,Data!C75)</f>
        <v>0.03</v>
      </c>
      <c r="E158" s="388">
        <f>(E149+F149)*D158</f>
        <v>1293328.7753999999</v>
      </c>
      <c r="F158" s="249">
        <f>IF(Data!D76="",Data!D75,Data!D76)</f>
        <v>0.03</v>
      </c>
      <c r="G158" s="388">
        <f>(G149+H149)*F158</f>
        <v>1291964.9327999998</v>
      </c>
      <c r="H158" s="249">
        <f>IF(Data!E76="",Data!E75,Data!E76)</f>
        <v>0.03</v>
      </c>
      <c r="I158" s="388">
        <f>(I149+J149)*H158</f>
        <v>1293280.6001999998</v>
      </c>
      <c r="J158" s="222"/>
    </row>
    <row r="159" spans="1:12" ht="17.149999999999999" customHeight="1" x14ac:dyDescent="0.7">
      <c r="A159" s="4"/>
      <c r="B159" s="17" t="s">
        <v>142</v>
      </c>
      <c r="C159" s="11"/>
      <c r="D159" s="250"/>
      <c r="E159" s="226" t="str">
        <f>IF(E158&lt;E155, "Met","Not Met")</f>
        <v>Met</v>
      </c>
      <c r="F159" s="23"/>
      <c r="G159" s="226" t="str">
        <f>IF(G158&lt;G155, "Met","Not Met")</f>
        <v>Met</v>
      </c>
      <c r="H159" s="23"/>
      <c r="I159" s="226" t="str">
        <f>IF(I158&lt;I155, "Met","Not Met")</f>
        <v>Met</v>
      </c>
    </row>
    <row r="160" spans="1:12" ht="17.149999999999999" customHeight="1" thickBot="1" x14ac:dyDescent="0.85">
      <c r="A160" s="4"/>
      <c r="B160" s="227"/>
      <c r="C160" s="227"/>
      <c r="D160" s="227"/>
      <c r="E160" s="227"/>
      <c r="F160" s="227"/>
      <c r="G160" s="228"/>
      <c r="H160" s="228"/>
      <c r="I160" s="228"/>
    </row>
    <row r="161" spans="1:10" ht="16.5" customHeight="1" thickBot="1" x14ac:dyDescent="0.85">
      <c r="A161" s="14"/>
      <c r="B161" s="448" t="s">
        <v>211</v>
      </c>
      <c r="C161" s="449"/>
      <c r="D161" s="449"/>
      <c r="E161" s="449"/>
      <c r="F161" s="449"/>
      <c r="G161" s="449"/>
      <c r="H161" s="449"/>
      <c r="I161" s="449"/>
      <c r="J161" s="450"/>
    </row>
    <row r="162" spans="1:10" ht="10.5" customHeight="1" x14ac:dyDescent="0.7">
      <c r="A162" s="14"/>
      <c r="B162" s="583"/>
      <c r="C162" s="598"/>
      <c r="D162" s="598"/>
      <c r="E162" s="598"/>
      <c r="F162" s="598"/>
      <c r="G162" s="598"/>
      <c r="H162" s="598"/>
      <c r="I162" s="598"/>
      <c r="J162" s="584"/>
    </row>
    <row r="163" spans="1:10" ht="31.5" customHeight="1" x14ac:dyDescent="0.7">
      <c r="A163" s="14"/>
      <c r="B163" s="556"/>
      <c r="C163" s="570"/>
      <c r="D163" s="570"/>
      <c r="E163" s="570"/>
      <c r="F163" s="570"/>
      <c r="G163" s="570"/>
      <c r="H163" s="570"/>
      <c r="I163" s="570"/>
      <c r="J163" s="571"/>
    </row>
    <row r="164" spans="1:10" s="4" customFormat="1" ht="16.5" customHeight="1" x14ac:dyDescent="0.55000000000000004">
      <c r="B164" s="19"/>
      <c r="G164" s="5"/>
      <c r="H164" s="5"/>
      <c r="I164" s="5"/>
    </row>
    <row r="165" spans="1:10" s="53" customFormat="1" ht="19.5" customHeight="1" x14ac:dyDescent="0.6">
      <c r="A165" s="49" t="s">
        <v>67</v>
      </c>
      <c r="B165" s="50"/>
      <c r="C165" s="50"/>
      <c r="D165" s="51"/>
      <c r="E165" s="51"/>
      <c r="F165" s="52"/>
      <c r="G165" s="50"/>
      <c r="H165" s="50"/>
      <c r="I165" s="50"/>
      <c r="J165" s="50"/>
    </row>
    <row r="166" spans="1:10" ht="7.5" customHeight="1" x14ac:dyDescent="0.7">
      <c r="A166" s="9"/>
      <c r="B166" s="9"/>
      <c r="E166" s="1"/>
      <c r="F166" s="1"/>
      <c r="G166" s="1"/>
      <c r="H166" s="1"/>
    </row>
    <row r="167" spans="1:10" ht="17.149999999999999" customHeight="1" x14ac:dyDescent="0.7">
      <c r="A167" s="9"/>
      <c r="B167" s="18" t="s">
        <v>68</v>
      </c>
      <c r="E167" s="27"/>
      <c r="F167" s="229"/>
      <c r="G167" s="230"/>
      <c r="H167" s="230"/>
    </row>
    <row r="168" spans="1:10" ht="17.149999999999999" customHeight="1" x14ac:dyDescent="0.7">
      <c r="A168" s="9"/>
      <c r="B168" s="9"/>
      <c r="E168" s="27"/>
      <c r="F168" s="231" t="str">
        <f>B136</f>
        <v>2021-22</v>
      </c>
      <c r="G168" s="232" t="str">
        <f>B137</f>
        <v>2022-23</v>
      </c>
      <c r="H168" s="232" t="str">
        <f>B138</f>
        <v>2023-24</v>
      </c>
      <c r="I168" s="232" t="str">
        <f>B139</f>
        <v>2024-25</v>
      </c>
    </row>
    <row r="169" spans="1:10" ht="17.149999999999999" customHeight="1" x14ac:dyDescent="0.7">
      <c r="A169" s="9"/>
      <c r="B169" s="11"/>
      <c r="C169" s="529" t="s">
        <v>133</v>
      </c>
      <c r="D169" s="529"/>
      <c r="E169" s="529"/>
      <c r="F169" s="262">
        <v>3365.09</v>
      </c>
      <c r="G169" s="262">
        <v>3545.16</v>
      </c>
      <c r="H169" s="262">
        <v>3545.16</v>
      </c>
      <c r="I169" s="262">
        <v>3545.16</v>
      </c>
    </row>
    <row r="170" spans="1:10" ht="17.149999999999999" customHeight="1" x14ac:dyDescent="0.7">
      <c r="A170" s="9"/>
      <c r="B170" s="11"/>
      <c r="C170" s="227"/>
      <c r="D170" s="227"/>
      <c r="E170" s="227" t="s">
        <v>135</v>
      </c>
      <c r="F170" s="262">
        <v>3365.09</v>
      </c>
      <c r="G170" s="262">
        <f>+G169</f>
        <v>3545.16</v>
      </c>
      <c r="H170" s="262">
        <f>+H169</f>
        <v>3545.16</v>
      </c>
      <c r="I170" s="262">
        <f>+I169</f>
        <v>3545.16</v>
      </c>
    </row>
    <row r="171" spans="1:10" ht="17.149999999999999" customHeight="1" x14ac:dyDescent="0.7">
      <c r="A171" s="9"/>
      <c r="B171" s="11"/>
      <c r="C171" s="529" t="s">
        <v>134</v>
      </c>
      <c r="D171" s="529"/>
      <c r="E171" s="529"/>
      <c r="F171" s="263">
        <v>3315</v>
      </c>
      <c r="G171" s="263">
        <v>3548</v>
      </c>
      <c r="H171" s="263">
        <v>3548</v>
      </c>
      <c r="I171" s="263">
        <v>3548</v>
      </c>
    </row>
    <row r="172" spans="1:10" ht="17.149999999999999" customHeight="1" x14ac:dyDescent="0.7">
      <c r="A172" s="9"/>
      <c r="B172" s="11"/>
      <c r="C172" s="529" t="s">
        <v>137</v>
      </c>
      <c r="D172" s="529"/>
      <c r="E172" s="529"/>
      <c r="F172" s="263">
        <v>1494</v>
      </c>
      <c r="G172" s="263">
        <v>1610</v>
      </c>
      <c r="H172" s="263">
        <v>1610</v>
      </c>
      <c r="I172" s="263">
        <v>1610</v>
      </c>
    </row>
    <row r="173" spans="1:10" ht="17.149999999999999" customHeight="1" x14ac:dyDescent="0.7">
      <c r="A173" s="9"/>
      <c r="B173" s="529" t="s">
        <v>136</v>
      </c>
      <c r="C173" s="529"/>
      <c r="D173" s="529"/>
      <c r="E173" s="535"/>
      <c r="F173" s="382">
        <v>32508293</v>
      </c>
      <c r="G173" s="382">
        <v>38707297.030000001</v>
      </c>
      <c r="H173" s="382">
        <v>40706609.030000001</v>
      </c>
      <c r="I173" s="382">
        <v>42350926.030000001</v>
      </c>
    </row>
    <row r="174" spans="1:10" ht="17.149999999999999" customHeight="1" x14ac:dyDescent="0.7">
      <c r="A174" s="9"/>
      <c r="B174" s="11"/>
      <c r="C174" s="227"/>
      <c r="D174" s="227"/>
      <c r="E174" s="227" t="s">
        <v>69</v>
      </c>
      <c r="F174" s="233"/>
      <c r="G174" s="383">
        <f>Data!C11</f>
        <v>38707297.030000001</v>
      </c>
      <c r="H174" s="383">
        <f>Data!D11</f>
        <v>40706609.030000001</v>
      </c>
      <c r="I174" s="384">
        <f>Data!E11</f>
        <v>42350926.030000001</v>
      </c>
    </row>
    <row r="175" spans="1:10" ht="17.149999999999999" customHeight="1" x14ac:dyDescent="0.7">
      <c r="A175" s="9"/>
      <c r="B175" s="11"/>
      <c r="C175" s="227"/>
      <c r="D175" s="227"/>
      <c r="E175" s="120" t="s">
        <v>202</v>
      </c>
      <c r="F175" s="233"/>
      <c r="G175" s="385">
        <f>G174-G173</f>
        <v>0</v>
      </c>
      <c r="H175" s="385">
        <f>H174-H173</f>
        <v>0</v>
      </c>
      <c r="I175" s="385">
        <f>I174-I173</f>
        <v>0</v>
      </c>
    </row>
    <row r="176" spans="1:10" ht="17.149999999999999" customHeight="1" x14ac:dyDescent="0.7">
      <c r="A176" s="9"/>
      <c r="B176" s="11"/>
      <c r="C176" s="227"/>
      <c r="D176" s="227"/>
      <c r="E176" s="120" t="s">
        <v>203</v>
      </c>
      <c r="F176" s="233"/>
      <c r="G176" s="371">
        <f>G175/G173</f>
        <v>0</v>
      </c>
      <c r="H176" s="371">
        <f>H175/H173</f>
        <v>0</v>
      </c>
      <c r="I176" s="371">
        <f>I175/I173</f>
        <v>0</v>
      </c>
    </row>
    <row r="177" spans="1:9" ht="17.149999999999999" customHeight="1" x14ac:dyDescent="0.7">
      <c r="A177" s="9"/>
      <c r="E177" s="27"/>
      <c r="F177" s="229"/>
      <c r="G177" s="234"/>
      <c r="H177" s="22"/>
    </row>
    <row r="178" spans="1:9" ht="17.149999999999999" customHeight="1" x14ac:dyDescent="0.7">
      <c r="A178" s="9"/>
      <c r="B178" s="573" t="s">
        <v>140</v>
      </c>
      <c r="C178" s="573"/>
      <c r="D178" s="573"/>
      <c r="E178" s="573"/>
      <c r="F178" s="574"/>
      <c r="G178" s="235" t="str">
        <f>IF($G$169=$C$50, "Yes","No")</f>
        <v>Yes</v>
      </c>
      <c r="H178" s="235" t="str">
        <f>IF($H$169=$C$51, "Yes","No")</f>
        <v>Yes</v>
      </c>
      <c r="I178" s="235" t="str">
        <f>IF($I$169=$C$52, "Yes","No")</f>
        <v>Yes</v>
      </c>
    </row>
    <row r="179" spans="1:9" ht="17.149999999999999" customHeight="1" x14ac:dyDescent="0.7">
      <c r="A179" s="9"/>
      <c r="B179" s="573" t="s">
        <v>141</v>
      </c>
      <c r="C179" s="573"/>
      <c r="D179" s="573"/>
      <c r="E179" s="573"/>
      <c r="F179" s="574"/>
      <c r="G179" s="235" t="str">
        <f>IF($G$171=$F$50, "Yes","No")</f>
        <v>Yes</v>
      </c>
      <c r="H179" s="235" t="str">
        <f>IF($H$171=$F$51, "Yes","No")</f>
        <v>Yes</v>
      </c>
      <c r="I179" s="235" t="str">
        <f>IF($I$171=$F$52, "Yes","No")</f>
        <v>Yes</v>
      </c>
    </row>
    <row r="180" spans="1:9" ht="17.149999999999999" customHeight="1" thickBot="1" x14ac:dyDescent="0.85">
      <c r="A180" s="9"/>
      <c r="D180" s="572"/>
      <c r="E180" s="572"/>
      <c r="F180" s="572"/>
      <c r="G180" s="230"/>
      <c r="H180" s="236" t="str">
        <f>IF(G180="yes","Amount?","")</f>
        <v/>
      </c>
      <c r="I180" s="22"/>
    </row>
    <row r="181" spans="1:9" ht="17.149999999999999" customHeight="1" thickBot="1" x14ac:dyDescent="0.85">
      <c r="A181" s="9"/>
      <c r="C181" s="448" t="s">
        <v>60</v>
      </c>
      <c r="D181" s="449"/>
      <c r="E181" s="449"/>
      <c r="F181" s="449"/>
      <c r="G181" s="449"/>
      <c r="H181" s="449"/>
      <c r="I181" s="450"/>
    </row>
    <row r="182" spans="1:9" ht="33.75" customHeight="1" x14ac:dyDescent="0.7">
      <c r="A182" s="9"/>
      <c r="C182" s="567"/>
      <c r="D182" s="568"/>
      <c r="E182" s="568"/>
      <c r="F182" s="568"/>
      <c r="G182" s="568"/>
      <c r="H182" s="568"/>
      <c r="I182" s="569"/>
    </row>
    <row r="183" spans="1:9" ht="17.149999999999999" customHeight="1" x14ac:dyDescent="0.7">
      <c r="A183" s="9"/>
      <c r="E183" s="27"/>
      <c r="F183" s="229"/>
      <c r="G183" s="230"/>
      <c r="H183" s="230"/>
    </row>
    <row r="184" spans="1:9" ht="17.149999999999999" customHeight="1" thickBot="1" x14ac:dyDescent="0.85">
      <c r="A184" s="9"/>
      <c r="C184" s="573" t="s">
        <v>139</v>
      </c>
      <c r="D184" s="573"/>
      <c r="E184" s="573"/>
      <c r="F184" s="573"/>
      <c r="G184" s="237" t="str">
        <f>IF($G$175&lt;&gt;0,"No","Yes")</f>
        <v>Yes</v>
      </c>
      <c r="H184" s="237" t="str">
        <f>IF($H$175&lt;&gt;0,"No","Yes")</f>
        <v>Yes</v>
      </c>
      <c r="I184" s="237" t="str">
        <f>IF($I$175&lt;&gt;0,"No","Yes")</f>
        <v>Yes</v>
      </c>
    </row>
    <row r="185" spans="1:9" ht="17.149999999999999" customHeight="1" thickBot="1" x14ac:dyDescent="0.85">
      <c r="A185" s="9"/>
      <c r="C185" s="448" t="s">
        <v>60</v>
      </c>
      <c r="D185" s="449"/>
      <c r="E185" s="449"/>
      <c r="F185" s="449"/>
      <c r="G185" s="449"/>
      <c r="H185" s="449"/>
      <c r="I185" s="450"/>
    </row>
    <row r="186" spans="1:9" ht="34.5" customHeight="1" x14ac:dyDescent="0.7">
      <c r="A186" s="9"/>
      <c r="C186" s="556"/>
      <c r="D186" s="570"/>
      <c r="E186" s="570"/>
      <c r="F186" s="570"/>
      <c r="G186" s="570"/>
      <c r="H186" s="570"/>
      <c r="I186" s="571"/>
    </row>
    <row r="187" spans="1:9" ht="17.149999999999999" customHeight="1" x14ac:dyDescent="0.7">
      <c r="A187" s="9"/>
      <c r="C187" s="122"/>
      <c r="D187" s="122"/>
      <c r="E187" s="122"/>
      <c r="F187" s="122"/>
      <c r="G187" s="122"/>
      <c r="H187" s="122"/>
      <c r="I187" s="122"/>
    </row>
    <row r="188" spans="1:9" ht="17.149999999999999" customHeight="1" x14ac:dyDescent="0.7">
      <c r="B188" s="20" t="s">
        <v>175</v>
      </c>
      <c r="C188" s="122"/>
      <c r="D188" s="122"/>
      <c r="E188" s="232" t="str">
        <f>G168</f>
        <v>2022-23</v>
      </c>
      <c r="F188" s="232" t="str">
        <f>H168</f>
        <v>2023-24</v>
      </c>
      <c r="G188" s="232" t="str">
        <f>I168</f>
        <v>2024-25</v>
      </c>
      <c r="H188" s="362"/>
      <c r="I188" s="122"/>
    </row>
    <row r="189" spans="1:9" ht="17.149999999999999" customHeight="1" x14ac:dyDescent="0.7">
      <c r="A189" s="9"/>
      <c r="B189" s="11" t="s">
        <v>171</v>
      </c>
      <c r="C189" s="238"/>
      <c r="D189" s="238"/>
      <c r="E189" s="376">
        <v>921742.02</v>
      </c>
      <c r="F189" s="376">
        <v>921742.02</v>
      </c>
      <c r="G189" s="376">
        <v>921742.02</v>
      </c>
      <c r="H189" s="411"/>
      <c r="I189" s="412"/>
    </row>
    <row r="190" spans="1:9" ht="17.149999999999999" customHeight="1" x14ac:dyDescent="0.7">
      <c r="A190" s="9"/>
      <c r="B190" s="11" t="s">
        <v>143</v>
      </c>
      <c r="C190" s="238"/>
      <c r="D190" s="238"/>
      <c r="E190" s="377">
        <f>Data!C73</f>
        <v>921742.02</v>
      </c>
      <c r="F190" s="377">
        <f>Data!D73</f>
        <v>921742.02</v>
      </c>
      <c r="G190" s="377">
        <f>Data!E73</f>
        <v>921742.02</v>
      </c>
      <c r="H190" s="411"/>
      <c r="I190" s="412"/>
    </row>
    <row r="191" spans="1:9" ht="17.149999999999999" customHeight="1" x14ac:dyDescent="0.7">
      <c r="A191" s="9"/>
      <c r="B191" s="11"/>
      <c r="C191" s="400" t="s">
        <v>34</v>
      </c>
      <c r="D191" s="238"/>
      <c r="E191" s="399">
        <f>E190-E189</f>
        <v>0</v>
      </c>
      <c r="F191" s="399">
        <f>F190-F189</f>
        <v>0</v>
      </c>
      <c r="G191" s="399">
        <f>G190-G189</f>
        <v>0</v>
      </c>
      <c r="H191" s="411"/>
      <c r="I191" s="412"/>
    </row>
    <row r="192" spans="1:9" ht="17.149999999999999" customHeight="1" x14ac:dyDescent="0.7">
      <c r="A192" s="9"/>
      <c r="B192" s="20" t="s">
        <v>244</v>
      </c>
      <c r="C192" s="400"/>
      <c r="D192" s="238"/>
      <c r="E192" s="399">
        <f>E191/C50</f>
        <v>0</v>
      </c>
      <c r="F192" s="399">
        <f>F191/C51</f>
        <v>0</v>
      </c>
      <c r="G192" s="399">
        <f>G191/C52</f>
        <v>0</v>
      </c>
      <c r="H192" s="411"/>
      <c r="I192" s="412"/>
    </row>
    <row r="193" spans="1:9" ht="17.149999999999999" customHeight="1" thickBot="1" x14ac:dyDescent="0.85">
      <c r="A193" s="9"/>
      <c r="B193" s="11"/>
      <c r="C193" s="238"/>
      <c r="D193" s="238"/>
      <c r="E193" s="238"/>
      <c r="F193" s="238"/>
      <c r="G193" s="238"/>
      <c r="H193" s="238"/>
      <c r="I193" s="238"/>
    </row>
    <row r="194" spans="1:9" ht="17.149999999999999" customHeight="1" thickBot="1" x14ac:dyDescent="0.85">
      <c r="A194" s="9"/>
      <c r="C194" s="448" t="s">
        <v>60</v>
      </c>
      <c r="D194" s="449"/>
      <c r="E194" s="449"/>
      <c r="F194" s="449"/>
      <c r="G194" s="449"/>
      <c r="H194" s="449"/>
      <c r="I194" s="450"/>
    </row>
    <row r="195" spans="1:9" ht="61.5" customHeight="1" x14ac:dyDescent="0.7">
      <c r="A195" s="9"/>
      <c r="C195" s="567"/>
      <c r="D195" s="568"/>
      <c r="E195" s="568"/>
      <c r="F195" s="568"/>
      <c r="G195" s="568"/>
      <c r="H195" s="568"/>
      <c r="I195" s="569"/>
    </row>
    <row r="196" spans="1:9" ht="17.149999999999999" customHeight="1" x14ac:dyDescent="0.7">
      <c r="A196" s="9"/>
      <c r="C196" s="122"/>
      <c r="D196" s="122"/>
      <c r="E196" s="122"/>
      <c r="F196" s="122"/>
      <c r="G196" s="122"/>
      <c r="H196" s="122"/>
      <c r="I196" s="122"/>
    </row>
    <row r="197" spans="1:9" ht="17.149999999999999" customHeight="1" x14ac:dyDescent="0.7">
      <c r="A197" s="9"/>
      <c r="B197" s="9" t="s">
        <v>176</v>
      </c>
      <c r="C197" s="122"/>
      <c r="D197" s="122"/>
      <c r="E197" s="122"/>
      <c r="F197" s="122"/>
      <c r="G197" s="122"/>
      <c r="H197" s="122"/>
      <c r="I197" s="122"/>
    </row>
    <row r="198" spans="1:9" ht="17.149999999999999" customHeight="1" x14ac:dyDescent="0.7">
      <c r="A198" s="9"/>
      <c r="C198" s="122"/>
      <c r="D198" s="122"/>
      <c r="E198" s="122"/>
      <c r="F198" s="122"/>
      <c r="G198" s="122"/>
      <c r="H198" s="122"/>
      <c r="I198" s="122"/>
    </row>
    <row r="199" spans="1:9" ht="17.149999999999999" customHeight="1" x14ac:dyDescent="0.7">
      <c r="A199" s="9"/>
      <c r="C199" s="587" t="s">
        <v>76</v>
      </c>
      <c r="D199" s="587"/>
      <c r="E199" s="587"/>
      <c r="F199" s="587"/>
      <c r="G199" s="587"/>
      <c r="H199" s="587"/>
      <c r="I199" s="353">
        <f>Data!C86</f>
        <v>0</v>
      </c>
    </row>
    <row r="200" spans="1:9" ht="17.149999999999999" customHeight="1" x14ac:dyDescent="0.7">
      <c r="A200" s="9"/>
      <c r="C200" s="238"/>
      <c r="D200" s="238"/>
      <c r="E200" s="238"/>
      <c r="F200" s="238"/>
      <c r="G200" s="238"/>
      <c r="H200" s="238"/>
      <c r="I200" s="238"/>
    </row>
    <row r="201" spans="1:9" ht="17.149999999999999" customHeight="1" x14ac:dyDescent="0.7">
      <c r="A201" s="9"/>
      <c r="C201" s="25" t="s">
        <v>172</v>
      </c>
      <c r="D201" s="238"/>
      <c r="E201" s="238"/>
      <c r="F201" s="238"/>
      <c r="G201" s="238"/>
      <c r="H201" s="238"/>
      <c r="I201" s="238"/>
    </row>
    <row r="202" spans="1:9" ht="17.149999999999999" customHeight="1" x14ac:dyDescent="0.7">
      <c r="A202" s="9"/>
      <c r="C202" s="522" t="str">
        <f>T(Data!C88)</f>
        <v>Yes, they are in LACOE SELPA</v>
      </c>
      <c r="D202" s="523"/>
      <c r="E202" s="523"/>
      <c r="F202" s="523"/>
      <c r="G202" s="524"/>
      <c r="H202" s="238"/>
      <c r="I202" s="354"/>
    </row>
    <row r="203" spans="1:9" ht="17.149999999999999" customHeight="1" x14ac:dyDescent="0.7">
      <c r="A203" s="9"/>
      <c r="C203" s="238"/>
      <c r="D203" s="238"/>
      <c r="E203" s="238"/>
      <c r="F203" s="238"/>
      <c r="G203" s="238"/>
      <c r="H203" s="238"/>
      <c r="I203" s="354"/>
    </row>
    <row r="204" spans="1:9" ht="17.149999999999999" customHeight="1" x14ac:dyDescent="0.7">
      <c r="A204" s="9"/>
      <c r="C204" s="238"/>
      <c r="D204" s="238"/>
      <c r="E204" s="238"/>
      <c r="F204" s="238"/>
      <c r="G204" s="238"/>
      <c r="H204" s="238"/>
      <c r="I204" s="354"/>
    </row>
    <row r="205" spans="1:9" ht="17.149999999999999" customHeight="1" x14ac:dyDescent="0.7">
      <c r="A205" s="9"/>
      <c r="C205" s="238"/>
      <c r="D205" s="238"/>
      <c r="E205" s="373" t="str">
        <f>F244</f>
        <v>2022-23</v>
      </c>
      <c r="F205" s="373" t="str">
        <f>G244</f>
        <v>2023-24</v>
      </c>
      <c r="G205" s="373" t="str">
        <f>H244</f>
        <v>2024-25</v>
      </c>
      <c r="I205" s="238"/>
    </row>
    <row r="206" spans="1:9" ht="17.149999999999999" customHeight="1" x14ac:dyDescent="0.7">
      <c r="A206" s="9"/>
      <c r="C206" s="238" t="s">
        <v>147</v>
      </c>
      <c r="D206" s="238"/>
      <c r="E206" s="355">
        <f>Data!C89</f>
        <v>2620867.04</v>
      </c>
      <c r="F206" s="355">
        <f>Data!D89</f>
        <v>2620867.04</v>
      </c>
      <c r="G206" s="355">
        <f>Data!E89</f>
        <v>2620867.04</v>
      </c>
      <c r="I206" s="238"/>
    </row>
    <row r="207" spans="1:9" ht="17.149999999999999" customHeight="1" x14ac:dyDescent="0.7">
      <c r="A207" s="9"/>
      <c r="C207" s="25" t="s">
        <v>149</v>
      </c>
      <c r="D207" s="356"/>
      <c r="E207" s="355">
        <f>Data!C90</f>
        <v>534054.49</v>
      </c>
      <c r="F207" s="355">
        <f>Data!D90</f>
        <v>536159.53</v>
      </c>
      <c r="G207" s="355">
        <f>Data!E90</f>
        <v>536159.53</v>
      </c>
      <c r="I207" s="356"/>
    </row>
    <row r="208" spans="1:9" ht="17.149999999999999" customHeight="1" x14ac:dyDescent="0.7">
      <c r="A208" s="9"/>
      <c r="C208" s="25" t="s">
        <v>148</v>
      </c>
      <c r="D208" s="238"/>
      <c r="E208" s="355">
        <f>Data!C91</f>
        <v>0</v>
      </c>
      <c r="F208" s="355">
        <f>Data!D91</f>
        <v>0</v>
      </c>
      <c r="G208" s="355">
        <f>Data!E91</f>
        <v>0</v>
      </c>
      <c r="I208" s="238"/>
    </row>
    <row r="209" spans="1:9" ht="17.149999999999999" customHeight="1" thickBot="1" x14ac:dyDescent="0.85">
      <c r="A209" s="9"/>
      <c r="C209" s="25" t="s">
        <v>150</v>
      </c>
      <c r="D209" s="238"/>
      <c r="E209" s="357">
        <f>Data!C92</f>
        <v>3154921.5300000003</v>
      </c>
      <c r="F209" s="357">
        <f>Data!D92</f>
        <v>3157026.5700000003</v>
      </c>
      <c r="G209" s="357">
        <f>Data!E92</f>
        <v>3157026.5700000003</v>
      </c>
      <c r="I209" s="238"/>
    </row>
    <row r="210" spans="1:9" ht="17.149999999999999" customHeight="1" thickTop="1" thickBot="1" x14ac:dyDescent="0.85">
      <c r="A210" s="9"/>
      <c r="C210" s="25" t="s">
        <v>151</v>
      </c>
      <c r="D210" s="238"/>
      <c r="E210" s="358">
        <f>Data!C93</f>
        <v>3154922</v>
      </c>
      <c r="F210" s="358">
        <f>Data!D93</f>
        <v>3157027</v>
      </c>
      <c r="G210" s="358">
        <f>Data!E93</f>
        <v>3157027</v>
      </c>
      <c r="I210" s="238"/>
    </row>
    <row r="211" spans="1:9" ht="17.149999999999999" customHeight="1" thickTop="1" thickBot="1" x14ac:dyDescent="0.85">
      <c r="A211" s="9"/>
      <c r="D211" s="122"/>
      <c r="E211" s="122"/>
      <c r="F211" s="122"/>
      <c r="G211" s="122"/>
      <c r="H211" s="122"/>
      <c r="I211" s="122"/>
    </row>
    <row r="212" spans="1:9" ht="17.149999999999999" customHeight="1" thickBot="1" x14ac:dyDescent="0.85">
      <c r="A212" s="9"/>
      <c r="C212" s="448" t="s">
        <v>253</v>
      </c>
      <c r="D212" s="449"/>
      <c r="E212" s="449"/>
      <c r="F212" s="449"/>
      <c r="G212" s="449"/>
      <c r="H212" s="449"/>
      <c r="I212" s="450"/>
    </row>
    <row r="213" spans="1:9" ht="54.75" customHeight="1" x14ac:dyDescent="0.7">
      <c r="A213" s="9"/>
      <c r="C213" s="567"/>
      <c r="D213" s="568"/>
      <c r="E213" s="568"/>
      <c r="F213" s="568"/>
      <c r="G213" s="568"/>
      <c r="H213" s="568"/>
      <c r="I213" s="569"/>
    </row>
    <row r="214" spans="1:9" ht="17.149999999999999" customHeight="1" x14ac:dyDescent="0.7">
      <c r="A214" s="9"/>
      <c r="C214" s="122"/>
      <c r="D214" s="122"/>
      <c r="E214" s="122"/>
      <c r="F214" s="122"/>
      <c r="G214" s="122"/>
      <c r="H214" s="122"/>
      <c r="I214" s="122"/>
    </row>
    <row r="215" spans="1:9" ht="17.149999999999999" customHeight="1" x14ac:dyDescent="0.7">
      <c r="A215" s="9"/>
      <c r="B215" s="9" t="s">
        <v>177</v>
      </c>
      <c r="C215" s="122"/>
      <c r="D215" s="122"/>
      <c r="E215" s="122"/>
      <c r="F215" s="122"/>
      <c r="G215" s="122"/>
      <c r="H215" s="122"/>
      <c r="I215" s="122"/>
    </row>
    <row r="216" spans="1:9" ht="17.149999999999999" customHeight="1" x14ac:dyDescent="0.7">
      <c r="A216" s="9"/>
      <c r="B216" s="9" t="s">
        <v>174</v>
      </c>
      <c r="E216" s="27"/>
      <c r="F216" s="229"/>
      <c r="G216" s="230"/>
      <c r="H216" s="230"/>
      <c r="I216" s="251"/>
    </row>
    <row r="217" spans="1:9" ht="17.149999999999999" customHeight="1" x14ac:dyDescent="0.7">
      <c r="A217" s="9"/>
      <c r="B217" s="32"/>
      <c r="C217" s="587" t="s">
        <v>77</v>
      </c>
      <c r="D217" s="587"/>
      <c r="E217" s="587"/>
      <c r="F217" s="587"/>
      <c r="G217" s="587"/>
      <c r="H217" s="587"/>
      <c r="I217" s="520" t="s">
        <v>113</v>
      </c>
    </row>
    <row r="218" spans="1:9" ht="17.149999999999999" customHeight="1" x14ac:dyDescent="0.7">
      <c r="A218" s="9"/>
      <c r="B218" s="32"/>
      <c r="C218" s="587"/>
      <c r="D218" s="587"/>
      <c r="E218" s="587"/>
      <c r="F218" s="587"/>
      <c r="G218" s="587"/>
      <c r="H218" s="587"/>
      <c r="I218" s="521"/>
    </row>
    <row r="219" spans="1:9" ht="17.149999999999999" customHeight="1" x14ac:dyDescent="0.7">
      <c r="A219" s="9"/>
      <c r="B219" s="32"/>
      <c r="C219" s="122"/>
      <c r="D219" s="122"/>
      <c r="E219" s="122"/>
      <c r="F219" s="122"/>
      <c r="G219" s="122"/>
      <c r="H219" s="122"/>
      <c r="I219" s="252"/>
    </row>
    <row r="220" spans="1:9" ht="17.149999999999999" customHeight="1" thickBot="1" x14ac:dyDescent="0.85">
      <c r="A220" s="9"/>
      <c r="B220" s="32"/>
      <c r="C220" s="17" t="s">
        <v>214</v>
      </c>
      <c r="D220" s="122"/>
      <c r="E220" s="122"/>
      <c r="F220" s="122"/>
      <c r="G220" s="122"/>
      <c r="H220" s="122"/>
    </row>
    <row r="221" spans="1:9" ht="17.149999999999999" customHeight="1" thickBot="1" x14ac:dyDescent="0.85">
      <c r="A221" s="9"/>
      <c r="B221" s="32"/>
      <c r="C221" s="186" t="s">
        <v>213</v>
      </c>
      <c r="D221" s="372" t="str">
        <f>F168</f>
        <v>2021-22</v>
      </c>
      <c r="E221" s="373" t="str">
        <f>E205</f>
        <v>2022-23</v>
      </c>
      <c r="F221" s="373" t="str">
        <f>F205</f>
        <v>2023-24</v>
      </c>
      <c r="G221" s="374" t="str">
        <f>G205</f>
        <v>2024-25</v>
      </c>
      <c r="H221" s="581" t="s">
        <v>60</v>
      </c>
      <c r="I221" s="582"/>
    </row>
    <row r="222" spans="1:9" ht="17.149999999999999" customHeight="1" x14ac:dyDescent="0.7">
      <c r="A222" s="9"/>
      <c r="B222" s="32"/>
      <c r="C222" s="4" t="s">
        <v>153</v>
      </c>
      <c r="D222" s="378">
        <f>Data!B96</f>
        <v>16860039</v>
      </c>
      <c r="E222" s="378">
        <f>Data!C96</f>
        <v>17535843.710000001</v>
      </c>
      <c r="F222" s="378">
        <f>Data!D96</f>
        <v>17882666.210000001</v>
      </c>
      <c r="G222" s="378">
        <f>Data!E96</f>
        <v>17882666.210000001</v>
      </c>
      <c r="H222" s="583"/>
      <c r="I222" s="584"/>
    </row>
    <row r="223" spans="1:9" ht="17.149999999999999" customHeight="1" x14ac:dyDescent="0.7">
      <c r="A223" s="9"/>
      <c r="B223" s="32"/>
      <c r="C223" s="4" t="s">
        <v>154</v>
      </c>
      <c r="D223" s="378">
        <f>Data!B97</f>
        <v>3104170</v>
      </c>
      <c r="E223" s="378">
        <f>Data!C97</f>
        <v>3422944.03</v>
      </c>
      <c r="F223" s="378">
        <f>Data!D97</f>
        <v>3422944.03</v>
      </c>
      <c r="G223" s="378">
        <f>Data!E97</f>
        <v>3422944.03</v>
      </c>
      <c r="H223" s="583"/>
      <c r="I223" s="584"/>
    </row>
    <row r="224" spans="1:9" ht="17.149999999999999" customHeight="1" x14ac:dyDescent="0.7">
      <c r="A224" s="9"/>
      <c r="B224" s="32"/>
      <c r="C224" s="4" t="s">
        <v>155</v>
      </c>
      <c r="D224" s="378">
        <f>Data!B98</f>
        <v>6019706</v>
      </c>
      <c r="E224" s="378">
        <f>Data!C98</f>
        <v>7410147.0999999996</v>
      </c>
      <c r="F224" s="378">
        <f>Data!D98</f>
        <v>7525754.5999999996</v>
      </c>
      <c r="G224" s="378">
        <f>Data!E98</f>
        <v>7525754.5999999996</v>
      </c>
      <c r="H224" s="583"/>
      <c r="I224" s="584"/>
    </row>
    <row r="225" spans="1:9" ht="17.149999999999999" customHeight="1" x14ac:dyDescent="0.7">
      <c r="A225" s="9"/>
      <c r="B225" s="32"/>
      <c r="C225" s="4" t="s">
        <v>156</v>
      </c>
      <c r="D225" s="378">
        <f>Data!B99</f>
        <v>3898865</v>
      </c>
      <c r="E225" s="378">
        <f>Data!C99</f>
        <v>3887474.14</v>
      </c>
      <c r="F225" s="378">
        <f>Data!D99</f>
        <v>3887474.14</v>
      </c>
      <c r="G225" s="378">
        <f>Data!E99</f>
        <v>3887474.14</v>
      </c>
      <c r="H225" s="583"/>
      <c r="I225" s="584"/>
    </row>
    <row r="226" spans="1:9" ht="17.149999999999999" customHeight="1" x14ac:dyDescent="0.7">
      <c r="A226" s="9"/>
      <c r="B226" s="32"/>
      <c r="C226" s="4" t="s">
        <v>157</v>
      </c>
      <c r="D226" s="378">
        <f>Data!B100</f>
        <v>5877383</v>
      </c>
      <c r="E226" s="378">
        <f>Data!C100</f>
        <v>6525807.1399999997</v>
      </c>
      <c r="F226" s="378">
        <f>Data!D100</f>
        <v>6585786.5</v>
      </c>
      <c r="G226" s="378">
        <f>Data!E100</f>
        <v>6635116.0099999998</v>
      </c>
      <c r="H226" s="583"/>
      <c r="I226" s="584"/>
    </row>
    <row r="227" spans="1:9" ht="17.149999999999999" customHeight="1" x14ac:dyDescent="0.7">
      <c r="A227" s="9"/>
      <c r="B227" s="32"/>
      <c r="C227" s="4" t="s">
        <v>158</v>
      </c>
      <c r="D227" s="378">
        <f>Data!B101</f>
        <v>15788</v>
      </c>
      <c r="E227" s="378">
        <f>Data!C101</f>
        <v>15788.26</v>
      </c>
      <c r="F227" s="378">
        <f>Data!D101</f>
        <v>15788.26</v>
      </c>
      <c r="G227" s="378">
        <f>Data!E101</f>
        <v>15788.26</v>
      </c>
      <c r="H227" s="583"/>
      <c r="I227" s="584"/>
    </row>
    <row r="228" spans="1:9" ht="17.149999999999999" customHeight="1" x14ac:dyDescent="0.7">
      <c r="A228" s="9"/>
      <c r="B228" s="32"/>
      <c r="C228" s="4" t="s">
        <v>159</v>
      </c>
      <c r="D228" s="378">
        <f>Data!B102</f>
        <v>0</v>
      </c>
      <c r="E228" s="378">
        <f>Data!C102</f>
        <v>0</v>
      </c>
      <c r="F228" s="378">
        <f>Data!D102</f>
        <v>0</v>
      </c>
      <c r="G228" s="378">
        <f>Data!E102</f>
        <v>0</v>
      </c>
      <c r="H228" s="583"/>
      <c r="I228" s="584"/>
    </row>
    <row r="229" spans="1:9" ht="17.149999999999999" customHeight="1" x14ac:dyDescent="0.7">
      <c r="A229" s="9"/>
      <c r="B229" s="32"/>
      <c r="C229" s="4" t="s">
        <v>212</v>
      </c>
      <c r="D229" s="378">
        <f>Data!B103</f>
        <v>13912</v>
      </c>
      <c r="E229" s="378">
        <f>Data!C103</f>
        <v>113879.76</v>
      </c>
      <c r="F229" s="378">
        <f>Data!D103</f>
        <v>8438.98</v>
      </c>
      <c r="G229" s="378">
        <f>Data!E103</f>
        <v>2965.05</v>
      </c>
      <c r="H229" s="583"/>
      <c r="I229" s="584"/>
    </row>
    <row r="230" spans="1:9" ht="16.5" thickBot="1" x14ac:dyDescent="0.85">
      <c r="A230" s="9"/>
      <c r="B230" s="32"/>
      <c r="C230" s="4" t="s">
        <v>160</v>
      </c>
      <c r="D230" s="379">
        <f>Data!B104</f>
        <v>35789863</v>
      </c>
      <c r="E230" s="379">
        <f>Data!C104</f>
        <v>38911884.140000001</v>
      </c>
      <c r="F230" s="379">
        <f>Data!D104</f>
        <v>39328852.719999999</v>
      </c>
      <c r="G230" s="379">
        <f>Data!E104</f>
        <v>39372708.299999997</v>
      </c>
      <c r="H230" s="556"/>
      <c r="I230" s="571"/>
    </row>
    <row r="231" spans="1:9" ht="16.5" thickTop="1" x14ac:dyDescent="0.7">
      <c r="A231" s="9"/>
      <c r="B231" s="32"/>
      <c r="C231" s="4"/>
      <c r="D231" s="375"/>
      <c r="E231" s="375"/>
      <c r="F231" s="375"/>
      <c r="G231" s="375"/>
      <c r="H231" s="253"/>
      <c r="I231" s="253"/>
    </row>
    <row r="232" spans="1:9" ht="17.149999999999999" customHeight="1" thickBot="1" x14ac:dyDescent="0.85">
      <c r="A232" s="9"/>
      <c r="B232" s="32"/>
      <c r="C232" s="17" t="s">
        <v>214</v>
      </c>
      <c r="D232" s="238"/>
      <c r="E232" s="238"/>
      <c r="F232" s="238"/>
      <c r="G232" s="238"/>
      <c r="H232" s="122"/>
    </row>
    <row r="233" spans="1:9" ht="17.149999999999999" customHeight="1" thickBot="1" x14ac:dyDescent="0.85">
      <c r="A233" s="9"/>
      <c r="B233" s="32"/>
      <c r="C233" s="186" t="s">
        <v>215</v>
      </c>
      <c r="D233" s="372" t="str">
        <f>D221</f>
        <v>2021-22</v>
      </c>
      <c r="E233" s="373" t="str">
        <f>E205</f>
        <v>2022-23</v>
      </c>
      <c r="F233" s="373" t="str">
        <f>F205</f>
        <v>2023-24</v>
      </c>
      <c r="G233" s="374" t="str">
        <f>G205</f>
        <v>2024-25</v>
      </c>
      <c r="H233" s="581" t="s">
        <v>60</v>
      </c>
      <c r="I233" s="582"/>
    </row>
    <row r="234" spans="1:9" ht="17.149999999999999" customHeight="1" x14ac:dyDescent="0.7">
      <c r="A234" s="9"/>
      <c r="B234" s="32"/>
      <c r="C234" s="4" t="s">
        <v>153</v>
      </c>
      <c r="D234" s="360">
        <f>Data!B96/Data!B$104</f>
        <v>0.47108420057377698</v>
      </c>
      <c r="E234" s="360">
        <f>Data!C96/Data!C$104</f>
        <v>0.45065522005843434</v>
      </c>
      <c r="F234" s="360">
        <f>Data!D96/Data!D$104</f>
        <v>0.45469585236352661</v>
      </c>
      <c r="G234" s="360">
        <f>Data!E96/Data!E$104</f>
        <v>0.45418938605247033</v>
      </c>
      <c r="H234" s="583"/>
      <c r="I234" s="584"/>
    </row>
    <row r="235" spans="1:9" ht="17.149999999999999" customHeight="1" x14ac:dyDescent="0.7">
      <c r="A235" s="9"/>
      <c r="B235" s="32"/>
      <c r="C235" s="4" t="s">
        <v>154</v>
      </c>
      <c r="D235" s="360">
        <f>Data!B97/Data!B$104</f>
        <v>8.6733218285859323E-2</v>
      </c>
      <c r="E235" s="360">
        <f>Data!C97/Data!C$104</f>
        <v>8.7966545585011602E-2</v>
      </c>
      <c r="F235" s="360">
        <f>Data!D97/Data!D$104</f>
        <v>8.7033915135269674E-2</v>
      </c>
      <c r="G235" s="360">
        <f>Data!E97/Data!E$104</f>
        <v>8.6936971770367147E-2</v>
      </c>
      <c r="H235" s="583"/>
      <c r="I235" s="584"/>
    </row>
    <row r="236" spans="1:9" ht="17.149999999999999" customHeight="1" x14ac:dyDescent="0.7">
      <c r="A236" s="9"/>
      <c r="B236" s="32"/>
      <c r="C236" s="4" t="s">
        <v>155</v>
      </c>
      <c r="D236" s="360">
        <f>Data!B98/Data!B$104</f>
        <v>0.16819583802262669</v>
      </c>
      <c r="E236" s="360">
        <f>Data!C98/Data!C$104</f>
        <v>0.19043403483982516</v>
      </c>
      <c r="F236" s="360">
        <f>Data!D98/Data!D$104</f>
        <v>0.19135454200963531</v>
      </c>
      <c r="G236" s="360">
        <f>Data!E98/Data!E$104</f>
        <v>0.19114140034913474</v>
      </c>
      <c r="H236" s="583"/>
      <c r="I236" s="584"/>
    </row>
    <row r="237" spans="1:9" ht="17.149999999999999" customHeight="1" x14ac:dyDescent="0.7">
      <c r="A237" s="9"/>
      <c r="B237" s="32"/>
      <c r="C237" s="4" t="s">
        <v>156</v>
      </c>
      <c r="D237" s="360">
        <f>Data!B99/Data!B$104</f>
        <v>0.10893768998221648</v>
      </c>
      <c r="E237" s="360">
        <f>Data!C99/Data!C$104</f>
        <v>9.9904546539390474E-2</v>
      </c>
      <c r="F237" s="360">
        <f>Data!D99/Data!D$104</f>
        <v>9.8845348164023433E-2</v>
      </c>
      <c r="G237" s="360">
        <f>Data!E99/Data!E$104</f>
        <v>9.8735248547786605E-2</v>
      </c>
      <c r="H237" s="583"/>
      <c r="I237" s="584"/>
    </row>
    <row r="238" spans="1:9" ht="17.149999999999999" customHeight="1" x14ac:dyDescent="0.7">
      <c r="A238" s="9"/>
      <c r="B238" s="32"/>
      <c r="C238" s="4" t="s">
        <v>157</v>
      </c>
      <c r="D238" s="360">
        <f>Data!B100/Data!B$104</f>
        <v>0.16421920922133734</v>
      </c>
      <c r="E238" s="360">
        <f>Data!C100/Data!C$104</f>
        <v>0.16770730290316904</v>
      </c>
      <c r="F238" s="360">
        <f>Data!D100/Data!D$104</f>
        <v>0.16745432537499153</v>
      </c>
      <c r="G238" s="360">
        <f>Data!E100/Data!E$104</f>
        <v>0.16852069101885989</v>
      </c>
      <c r="H238" s="583"/>
      <c r="I238" s="584"/>
    </row>
    <row r="239" spans="1:9" ht="17.149999999999999" customHeight="1" x14ac:dyDescent="0.7">
      <c r="A239" s="9"/>
      <c r="B239" s="32"/>
      <c r="C239" s="4" t="s">
        <v>158</v>
      </c>
      <c r="D239" s="360">
        <f>Data!B101/Data!B$104</f>
        <v>4.4113049552606557E-4</v>
      </c>
      <c r="E239" s="360">
        <f>Data!C101/Data!C$104</f>
        <v>4.0574390957774886E-4</v>
      </c>
      <c r="F239" s="360">
        <f>Data!D101/Data!D$104</f>
        <v>4.0144217052055418E-4</v>
      </c>
      <c r="G239" s="360">
        <f>Data!E101/Data!E$104</f>
        <v>4.0099502121371727E-4</v>
      </c>
      <c r="H239" s="583"/>
      <c r="I239" s="584"/>
    </row>
    <row r="240" spans="1:9" ht="17.149999999999999" customHeight="1" x14ac:dyDescent="0.7">
      <c r="A240" s="9"/>
      <c r="B240" s="32"/>
      <c r="C240" s="4" t="s">
        <v>159</v>
      </c>
      <c r="D240" s="360">
        <f>Data!B102/Data!B$104</f>
        <v>0</v>
      </c>
      <c r="E240" s="360">
        <f>Data!C102/Data!C$104</f>
        <v>0</v>
      </c>
      <c r="F240" s="360">
        <f>Data!D102/Data!D$104</f>
        <v>0</v>
      </c>
      <c r="G240" s="360">
        <f>Data!E102/Data!E$104</f>
        <v>0</v>
      </c>
      <c r="H240" s="583"/>
      <c r="I240" s="584"/>
    </row>
    <row r="241" spans="1:9" ht="17.149999999999999" customHeight="1" x14ac:dyDescent="0.7">
      <c r="A241" s="9"/>
      <c r="B241" s="32"/>
      <c r="C241" s="4" t="s">
        <v>212</v>
      </c>
      <c r="D241" s="360">
        <f>Data!B103/Data!B$104</f>
        <v>3.8871341865712086E-4</v>
      </c>
      <c r="E241" s="360">
        <f>Data!C103/Data!C$104</f>
        <v>2.9266061645916485E-3</v>
      </c>
      <c r="F241" s="360">
        <f>Data!D103/Data!D$104</f>
        <v>2.1457478203295018E-4</v>
      </c>
      <c r="G241" s="360">
        <f>Data!E103/Data!E$104</f>
        <v>7.5307240167677279E-5</v>
      </c>
      <c r="H241" s="583"/>
      <c r="I241" s="584"/>
    </row>
    <row r="242" spans="1:9" ht="16.5" thickBot="1" x14ac:dyDescent="0.85">
      <c r="A242" s="9"/>
      <c r="B242" s="32"/>
      <c r="C242" s="4" t="s">
        <v>160</v>
      </c>
      <c r="D242" s="361">
        <f>SUM(D234:D241)</f>
        <v>1.0000000000000002</v>
      </c>
      <c r="E242" s="361">
        <f t="shared" ref="E242:G242" si="14">SUM(E234:E241)</f>
        <v>1</v>
      </c>
      <c r="F242" s="361">
        <f t="shared" si="14"/>
        <v>1</v>
      </c>
      <c r="G242" s="361">
        <f t="shared" si="14"/>
        <v>1</v>
      </c>
      <c r="H242" s="556"/>
      <c r="I242" s="571"/>
    </row>
    <row r="243" spans="1:9" ht="17.149999999999999" customHeight="1" thickTop="1" x14ac:dyDescent="0.7">
      <c r="A243" s="9"/>
      <c r="B243" s="32"/>
      <c r="E243" s="27"/>
      <c r="F243" s="229"/>
      <c r="G243" s="230"/>
      <c r="H243" s="230"/>
    </row>
    <row r="244" spans="1:9" ht="17.149999999999999" customHeight="1" x14ac:dyDescent="0.7">
      <c r="A244" s="9"/>
      <c r="B244" s="9" t="s">
        <v>75</v>
      </c>
      <c r="C244" s="122"/>
      <c r="E244" s="254" t="s">
        <v>70</v>
      </c>
      <c r="F244" s="255" t="str">
        <f>E146</f>
        <v>2022-23</v>
      </c>
      <c r="G244" s="255" t="str">
        <f>H168</f>
        <v>2023-24</v>
      </c>
      <c r="H244" s="255" t="str">
        <f>I168</f>
        <v>2024-25</v>
      </c>
      <c r="I244" s="230"/>
    </row>
    <row r="245" spans="1:9" ht="17.149999999999999" customHeight="1" x14ac:dyDescent="0.7">
      <c r="A245" s="9"/>
      <c r="C245" s="122"/>
      <c r="E245" s="227" t="s">
        <v>138</v>
      </c>
      <c r="F245" s="256">
        <f>E151</f>
        <v>3332112.3399999961</v>
      </c>
      <c r="G245" s="256">
        <f>G151</f>
        <v>5401132.3999999985</v>
      </c>
      <c r="H245" s="256">
        <f>I151</f>
        <v>9074183.0099999979</v>
      </c>
      <c r="I245" s="257"/>
    </row>
    <row r="246" spans="1:9" ht="17.149999999999999" customHeight="1" x14ac:dyDescent="0.7">
      <c r="A246" s="9"/>
      <c r="C246" s="122"/>
      <c r="E246" s="227" t="s">
        <v>71</v>
      </c>
      <c r="F246" s="258">
        <f>E156</f>
        <v>7.7299999999999994E-2</v>
      </c>
      <c r="G246" s="258">
        <f>G156</f>
        <v>0.12541669505598207</v>
      </c>
      <c r="H246" s="258">
        <f>I156</f>
        <v>0.21049220892813325</v>
      </c>
      <c r="I246" s="258"/>
    </row>
    <row r="247" spans="1:9" ht="17.149999999999999" customHeight="1" x14ac:dyDescent="0.7">
      <c r="A247" s="9"/>
      <c r="E247" s="27"/>
      <c r="F247" s="229"/>
      <c r="G247" s="230"/>
      <c r="H247" s="230"/>
    </row>
    <row r="248" spans="1:9" s="11" customFormat="1" ht="17.149999999999999" customHeight="1" x14ac:dyDescent="0.6">
      <c r="A248" s="20"/>
      <c r="C248" s="529" t="s">
        <v>72</v>
      </c>
      <c r="D248" s="529"/>
      <c r="E248" s="529"/>
      <c r="F248" s="529"/>
      <c r="G248" s="359" t="s">
        <v>362</v>
      </c>
      <c r="H248" s="230"/>
    </row>
    <row r="249" spans="1:9" s="11" customFormat="1" ht="17.149999999999999" customHeight="1" x14ac:dyDescent="0.6">
      <c r="A249" s="20"/>
      <c r="C249" s="529" t="s">
        <v>73</v>
      </c>
      <c r="D249" s="529"/>
      <c r="E249" s="529"/>
      <c r="F249" s="529"/>
      <c r="G249" s="359" t="s">
        <v>361</v>
      </c>
      <c r="H249" s="230"/>
    </row>
    <row r="250" spans="1:9" s="11" customFormat="1" ht="17.149999999999999" customHeight="1" x14ac:dyDescent="0.6">
      <c r="A250" s="20"/>
      <c r="C250" s="529" t="s">
        <v>74</v>
      </c>
      <c r="D250" s="529"/>
      <c r="E250" s="529"/>
      <c r="F250" s="529"/>
      <c r="G250" s="359" t="s">
        <v>361</v>
      </c>
      <c r="H250" s="230"/>
    </row>
    <row r="251" spans="1:9" ht="17.149999999999999" customHeight="1" x14ac:dyDescent="0.7">
      <c r="A251" s="9"/>
      <c r="E251" s="27"/>
      <c r="F251" s="229"/>
      <c r="G251" s="230"/>
      <c r="H251" s="230"/>
    </row>
    <row r="252" spans="1:9" ht="17.149999999999999" customHeight="1" x14ac:dyDescent="0.7">
      <c r="A252" s="9"/>
      <c r="D252" s="518" t="str">
        <f>G168</f>
        <v>2022-23</v>
      </c>
      <c r="E252" s="518"/>
      <c r="F252" s="518" t="str">
        <f>G146</f>
        <v>2023-24</v>
      </c>
      <c r="G252" s="518"/>
      <c r="H252" s="517" t="str">
        <f>I168</f>
        <v>2024-25</v>
      </c>
      <c r="I252" s="517"/>
    </row>
    <row r="253" spans="1:9" ht="17.149999999999999" customHeight="1" x14ac:dyDescent="0.7">
      <c r="A253" s="9"/>
      <c r="D253" s="259" t="s">
        <v>62</v>
      </c>
      <c r="E253" s="259" t="s">
        <v>63</v>
      </c>
      <c r="F253" s="259" t="s">
        <v>62</v>
      </c>
      <c r="G253" s="259" t="s">
        <v>63</v>
      </c>
      <c r="H253" s="259" t="s">
        <v>62</v>
      </c>
      <c r="I253" s="259" t="s">
        <v>63</v>
      </c>
    </row>
    <row r="254" spans="1:9" ht="17.149999999999999" customHeight="1" x14ac:dyDescent="0.7">
      <c r="A254" s="9"/>
      <c r="C254" s="35" t="s">
        <v>75</v>
      </c>
      <c r="D254" s="380"/>
      <c r="E254" s="380"/>
      <c r="F254" s="380"/>
      <c r="G254" s="380"/>
      <c r="H254" s="381"/>
      <c r="I254" s="381"/>
    </row>
    <row r="255" spans="1:9" ht="17.149999999999999" customHeight="1" x14ac:dyDescent="0.7">
      <c r="A255" s="9"/>
      <c r="C255" s="35"/>
      <c r="D255" s="260"/>
      <c r="E255" s="260"/>
      <c r="F255" s="260"/>
      <c r="G255" s="260"/>
      <c r="H255" s="261"/>
      <c r="I255" s="261"/>
    </row>
    <row r="256" spans="1:9" ht="17.149999999999999" customHeight="1" x14ac:dyDescent="0.7">
      <c r="A256" s="9"/>
      <c r="D256" s="519" t="s">
        <v>66</v>
      </c>
      <c r="E256" s="519"/>
      <c r="F256" s="519" t="s">
        <v>66</v>
      </c>
      <c r="G256" s="519"/>
      <c r="H256" s="519" t="s">
        <v>66</v>
      </c>
      <c r="I256" s="519"/>
    </row>
    <row r="257" spans="1:10" ht="17.149999999999999" customHeight="1" x14ac:dyDescent="0.7">
      <c r="A257" s="9"/>
      <c r="C257" s="35" t="s">
        <v>75</v>
      </c>
      <c r="D257" s="516">
        <f>D254+E254</f>
        <v>0</v>
      </c>
      <c r="E257" s="516"/>
      <c r="F257" s="516">
        <f>F254+G254</f>
        <v>0</v>
      </c>
      <c r="G257" s="516"/>
      <c r="H257" s="516">
        <f>H254+I254</f>
        <v>0</v>
      </c>
      <c r="I257" s="516"/>
    </row>
    <row r="258" spans="1:10" ht="17.149999999999999" customHeight="1" thickBot="1" x14ac:dyDescent="0.85">
      <c r="A258" s="9"/>
      <c r="C258" s="35"/>
      <c r="D258" s="260"/>
      <c r="E258" s="260"/>
      <c r="F258" s="260"/>
      <c r="G258" s="260"/>
      <c r="H258" s="261"/>
      <c r="I258" s="261"/>
    </row>
    <row r="259" spans="1:10" ht="17.149999999999999" customHeight="1" thickBot="1" x14ac:dyDescent="0.85">
      <c r="A259" s="9"/>
      <c r="C259" s="448" t="s">
        <v>254</v>
      </c>
      <c r="D259" s="449"/>
      <c r="E259" s="449"/>
      <c r="F259" s="449"/>
      <c r="G259" s="449"/>
      <c r="H259" s="449"/>
      <c r="I259" s="450"/>
    </row>
    <row r="260" spans="1:10" ht="52.5" customHeight="1" x14ac:dyDescent="0.7">
      <c r="A260" s="9"/>
      <c r="C260" s="576" t="s">
        <v>363</v>
      </c>
      <c r="D260" s="577"/>
      <c r="E260" s="577"/>
      <c r="F260" s="577"/>
      <c r="G260" s="577"/>
      <c r="H260" s="577"/>
      <c r="I260" s="578"/>
    </row>
    <row r="261" spans="1:10" ht="17.149999999999999" customHeight="1" x14ac:dyDescent="0.7">
      <c r="A261" s="9"/>
      <c r="C261" s="253"/>
      <c r="D261" s="253"/>
      <c r="E261" s="253"/>
      <c r="F261" s="253"/>
      <c r="G261" s="253"/>
      <c r="H261" s="253"/>
      <c r="I261" s="253"/>
    </row>
    <row r="262" spans="1:10" ht="17.149999999999999" customHeight="1" x14ac:dyDescent="0.7">
      <c r="A262" s="9"/>
      <c r="B262" s="9" t="s">
        <v>152</v>
      </c>
      <c r="C262" s="253"/>
      <c r="D262" s="253"/>
      <c r="E262" s="253"/>
      <c r="F262" s="253"/>
      <c r="G262" s="253"/>
      <c r="H262" s="253"/>
      <c r="I262" s="253"/>
    </row>
    <row r="263" spans="1:10" ht="17.149999999999999" customHeight="1" x14ac:dyDescent="0.7">
      <c r="A263" s="9"/>
      <c r="B263" s="9" t="s">
        <v>166</v>
      </c>
      <c r="C263" s="11"/>
      <c r="D263" s="11"/>
      <c r="E263" s="23"/>
      <c r="F263" s="309"/>
      <c r="G263" s="309"/>
      <c r="H263" s="310"/>
      <c r="I263" s="11"/>
    </row>
    <row r="264" spans="1:10" s="53" customFormat="1" ht="6.75" customHeight="1" x14ac:dyDescent="0.6">
      <c r="A264" s="59"/>
      <c r="C264" s="445" t="s">
        <v>83</v>
      </c>
      <c r="D264" s="445"/>
      <c r="E264" s="445"/>
      <c r="F264" s="445"/>
      <c r="G264" s="445"/>
      <c r="H264" s="445"/>
      <c r="I264" s="445"/>
      <c r="J264" s="445"/>
    </row>
    <row r="265" spans="1:10" s="53" customFormat="1" ht="19.5" customHeight="1" thickBot="1" x14ac:dyDescent="0.75">
      <c r="A265" s="59"/>
      <c r="C265" s="445"/>
      <c r="D265" s="445"/>
      <c r="E265" s="445"/>
      <c r="F265" s="445"/>
      <c r="G265" s="445"/>
      <c r="H265" s="445"/>
      <c r="I265" s="445"/>
      <c r="J265" s="445"/>
    </row>
    <row r="266" spans="1:10" ht="17.149999999999999" customHeight="1" thickBot="1" x14ac:dyDescent="0.85">
      <c r="A266" s="18"/>
      <c r="D266" s="446" t="str">
        <f>E331</f>
        <v>2022-23</v>
      </c>
      <c r="E266" s="447"/>
      <c r="F266" s="446" t="str">
        <f>F331</f>
        <v>2023-24</v>
      </c>
      <c r="G266" s="447"/>
      <c r="H266" s="446" t="str">
        <f>G331</f>
        <v>2024-25</v>
      </c>
      <c r="I266" s="447"/>
      <c r="J266" s="5"/>
    </row>
    <row r="267" spans="1:10" ht="34.5" x14ac:dyDescent="0.7">
      <c r="A267" s="14"/>
      <c r="B267" s="26"/>
      <c r="C267" s="42" t="s">
        <v>84</v>
      </c>
      <c r="D267" s="36" t="s">
        <v>230</v>
      </c>
      <c r="E267" s="37" t="s">
        <v>85</v>
      </c>
      <c r="F267" s="36" t="s">
        <v>230</v>
      </c>
      <c r="G267" s="37" t="s">
        <v>85</v>
      </c>
      <c r="H267" s="36" t="s">
        <v>230</v>
      </c>
      <c r="I267" s="37" t="s">
        <v>85</v>
      </c>
      <c r="J267" s="5"/>
    </row>
    <row r="268" spans="1:10" s="5" customFormat="1" ht="17.149999999999999" customHeight="1" x14ac:dyDescent="0.6">
      <c r="B268" s="11" t="s">
        <v>86</v>
      </c>
      <c r="C268" s="43"/>
      <c r="D268" s="38"/>
      <c r="E268" s="39"/>
      <c r="F268" s="38"/>
      <c r="G268" s="39"/>
      <c r="H268" s="38"/>
      <c r="I268" s="39"/>
      <c r="J268" s="4"/>
    </row>
    <row r="269" spans="1:10" s="5" customFormat="1" ht="7.5" customHeight="1" x14ac:dyDescent="0.6">
      <c r="B269" s="11"/>
      <c r="C269" s="336"/>
      <c r="D269" s="264"/>
      <c r="E269" s="265"/>
      <c r="F269" s="264"/>
      <c r="G269" s="265"/>
      <c r="H269" s="264"/>
      <c r="I269" s="265"/>
      <c r="J269" s="4"/>
    </row>
    <row r="270" spans="1:10" s="5" customFormat="1" ht="17.149999999999999" customHeight="1" x14ac:dyDescent="0.6">
      <c r="B270" s="337" t="s">
        <v>87</v>
      </c>
      <c r="C270" s="44"/>
      <c r="D270" s="38"/>
      <c r="E270" s="39"/>
      <c r="F270" s="38"/>
      <c r="G270" s="39"/>
      <c r="H270" s="38"/>
      <c r="I270" s="39"/>
      <c r="J270" s="4"/>
    </row>
    <row r="271" spans="1:10" s="5" customFormat="1" ht="7.5" customHeight="1" x14ac:dyDescent="0.6">
      <c r="B271" s="11"/>
      <c r="C271" s="336"/>
      <c r="D271" s="264"/>
      <c r="E271" s="265"/>
      <c r="F271" s="264"/>
      <c r="G271" s="265"/>
      <c r="H271" s="264"/>
      <c r="I271" s="265"/>
      <c r="J271" s="4"/>
    </row>
    <row r="272" spans="1:10" s="5" customFormat="1" ht="17.149999999999999" customHeight="1" thickBot="1" x14ac:dyDescent="0.75">
      <c r="B272" s="337" t="s">
        <v>88</v>
      </c>
      <c r="C272" s="45"/>
      <c r="D272" s="40"/>
      <c r="E272" s="41"/>
      <c r="F272" s="40"/>
      <c r="G272" s="41"/>
      <c r="H272" s="40"/>
      <c r="I272" s="41"/>
      <c r="J272" s="4"/>
    </row>
    <row r="273" spans="1:10" s="5" customFormat="1" ht="17.149999999999999" customHeight="1" x14ac:dyDescent="0.6">
      <c r="B273" s="337"/>
      <c r="C273" s="338"/>
      <c r="D273" s="266"/>
      <c r="E273" s="267"/>
      <c r="F273" s="266"/>
      <c r="G273" s="267"/>
      <c r="H273" s="266"/>
      <c r="I273" s="267"/>
      <c r="J273" s="4"/>
    </row>
    <row r="274" spans="1:10" ht="17.149999999999999" customHeight="1" x14ac:dyDescent="0.7">
      <c r="A274" s="9"/>
      <c r="B274" s="9" t="s">
        <v>162</v>
      </c>
      <c r="C274" s="9" t="s">
        <v>178</v>
      </c>
      <c r="E274" s="27"/>
      <c r="F274" s="229"/>
      <c r="G274" s="230"/>
      <c r="H274" s="230"/>
    </row>
    <row r="275" spans="1:10" ht="9" customHeight="1" x14ac:dyDescent="0.7">
      <c r="A275" s="9"/>
      <c r="B275" s="9"/>
      <c r="C275" s="9"/>
      <c r="E275" s="27"/>
      <c r="F275" s="229"/>
      <c r="G275" s="230"/>
      <c r="H275" s="230"/>
    </row>
    <row r="276" spans="1:10" ht="17.149999999999999" customHeight="1" x14ac:dyDescent="0.7">
      <c r="A276" s="9"/>
      <c r="B276" s="9"/>
      <c r="C276" s="339"/>
      <c r="D276" s="525" t="s">
        <v>181</v>
      </c>
      <c r="E276" s="526"/>
      <c r="F276" s="443" t="s">
        <v>183</v>
      </c>
      <c r="G276" s="444"/>
      <c r="H276" s="527" t="s">
        <v>184</v>
      </c>
      <c r="I276" s="528"/>
    </row>
    <row r="277" spans="1:10" ht="17.149999999999999" customHeight="1" x14ac:dyDescent="0.7">
      <c r="A277" s="9"/>
      <c r="B277" s="32"/>
      <c r="C277" s="339" t="s">
        <v>86</v>
      </c>
      <c r="D277" s="340" t="s">
        <v>186</v>
      </c>
      <c r="E277" s="341" t="s">
        <v>182</v>
      </c>
      <c r="F277" s="340" t="s">
        <v>186</v>
      </c>
      <c r="G277" s="341" t="s">
        <v>182</v>
      </c>
      <c r="H277" s="340" t="s">
        <v>186</v>
      </c>
      <c r="I277" s="341" t="s">
        <v>182</v>
      </c>
    </row>
    <row r="278" spans="1:10" ht="17.149999999999999" customHeight="1" x14ac:dyDescent="0.7">
      <c r="A278" s="9"/>
      <c r="B278" s="32"/>
      <c r="C278" s="27" t="str">
        <f>B137</f>
        <v>2022-23</v>
      </c>
      <c r="D278" s="342">
        <f>Data!C13</f>
        <v>143</v>
      </c>
      <c r="E278" s="343">
        <f>Data!C20</f>
        <v>60207.780909090907</v>
      </c>
      <c r="F278" s="342">
        <f>Data!C14</f>
        <v>52</v>
      </c>
      <c r="G278" s="343">
        <f>Data!C21</f>
        <v>89626.211538461532</v>
      </c>
      <c r="H278" s="342">
        <f>Data!C15</f>
        <v>58</v>
      </c>
      <c r="I278" s="344">
        <f>Data!C22</f>
        <v>115000.72413793103</v>
      </c>
    </row>
    <row r="279" spans="1:10" ht="17.149999999999999" customHeight="1" x14ac:dyDescent="0.7">
      <c r="A279" s="9"/>
      <c r="B279" s="32"/>
      <c r="C279" s="27" t="str">
        <f>B138</f>
        <v>2023-24</v>
      </c>
      <c r="D279" s="342">
        <f>Data!D13</f>
        <v>143</v>
      </c>
      <c r="E279" s="343">
        <f>Data!D20</f>
        <v>60207.780909090907</v>
      </c>
      <c r="F279" s="342">
        <f>Data!D14</f>
        <v>52</v>
      </c>
      <c r="G279" s="343">
        <f>Data!D21</f>
        <v>89626.211538461532</v>
      </c>
      <c r="H279" s="342">
        <f>Data!D15</f>
        <v>58</v>
      </c>
      <c r="I279" s="344">
        <f>Data!D22</f>
        <v>115000.72413793103</v>
      </c>
    </row>
    <row r="280" spans="1:10" ht="17.149999999999999" customHeight="1" x14ac:dyDescent="0.7">
      <c r="A280" s="9"/>
      <c r="B280" s="32"/>
      <c r="C280" s="27" t="str">
        <f>B139</f>
        <v>2024-25</v>
      </c>
      <c r="D280" s="342">
        <f>Data!E13</f>
        <v>143</v>
      </c>
      <c r="E280" s="343">
        <f>Data!E20</f>
        <v>60207.780909090907</v>
      </c>
      <c r="F280" s="342">
        <f>Data!E14</f>
        <v>52</v>
      </c>
      <c r="G280" s="343">
        <f>Data!E21</f>
        <v>89626.211538461532</v>
      </c>
      <c r="H280" s="342">
        <f>Data!E15</f>
        <v>58</v>
      </c>
      <c r="I280" s="344">
        <f>Data!E22</f>
        <v>115000.72413793103</v>
      </c>
    </row>
    <row r="281" spans="1:10" ht="15.75" x14ac:dyDescent="0.7">
      <c r="A281" s="9"/>
      <c r="B281" s="32"/>
      <c r="C281" s="23"/>
      <c r="D281" s="11"/>
      <c r="E281" s="23"/>
      <c r="F281" s="308"/>
      <c r="G281" s="345"/>
      <c r="H281" s="345"/>
      <c r="I281" s="11"/>
    </row>
    <row r="282" spans="1:10" ht="17.149999999999999" customHeight="1" x14ac:dyDescent="0.7">
      <c r="A282" s="9"/>
      <c r="B282" s="9"/>
      <c r="C282" s="300"/>
      <c r="D282" s="486" t="s">
        <v>233</v>
      </c>
      <c r="E282" s="487"/>
      <c r="F282" s="590"/>
      <c r="G282" s="590"/>
      <c r="H282" s="476"/>
      <c r="I282" s="476"/>
    </row>
    <row r="283" spans="1:10" ht="17.149999999999999" customHeight="1" x14ac:dyDescent="0.7">
      <c r="A283" s="9"/>
      <c r="B283" s="32"/>
      <c r="C283" s="27" t="str">
        <f>C278</f>
        <v>2022-23</v>
      </c>
      <c r="D283" s="346"/>
      <c r="E283" s="343">
        <f>Data!C23</f>
        <v>167000</v>
      </c>
      <c r="F283" s="346"/>
      <c r="G283" s="347"/>
      <c r="H283" s="346"/>
      <c r="I283" s="348"/>
    </row>
    <row r="284" spans="1:10" ht="17.149999999999999" customHeight="1" x14ac:dyDescent="0.7">
      <c r="A284" s="9"/>
      <c r="B284" s="32"/>
      <c r="C284" s="27" t="str">
        <f t="shared" ref="C284:C285" si="15">C279</f>
        <v>2023-24</v>
      </c>
      <c r="D284" s="346"/>
      <c r="E284" s="343">
        <f>Data!D23</f>
        <v>167000</v>
      </c>
      <c r="F284" s="346"/>
      <c r="G284" s="347"/>
      <c r="H284" s="346"/>
      <c r="I284" s="348"/>
    </row>
    <row r="285" spans="1:10" ht="17.149999999999999" customHeight="1" x14ac:dyDescent="0.7">
      <c r="A285" s="9"/>
      <c r="B285" s="32"/>
      <c r="C285" s="27" t="str">
        <f t="shared" si="15"/>
        <v>2024-25</v>
      </c>
      <c r="D285" s="346"/>
      <c r="E285" s="343">
        <f>Data!E23</f>
        <v>167000</v>
      </c>
      <c r="F285" s="346"/>
      <c r="G285" s="347"/>
      <c r="H285" s="346"/>
      <c r="I285" s="348"/>
    </row>
    <row r="286" spans="1:10" ht="15.75" x14ac:dyDescent="0.7">
      <c r="A286" s="9"/>
      <c r="B286" s="32"/>
      <c r="C286" s="23"/>
      <c r="D286" s="11"/>
      <c r="E286" s="23"/>
      <c r="F286" s="308"/>
      <c r="G286" s="345"/>
      <c r="H286" s="345"/>
      <c r="I286" s="11"/>
    </row>
    <row r="287" spans="1:10" ht="37.5" customHeight="1" x14ac:dyDescent="0.7">
      <c r="A287" s="9"/>
      <c r="B287" s="32"/>
      <c r="C287" s="23"/>
      <c r="D287" s="349" t="s">
        <v>234</v>
      </c>
      <c r="E287" s="350" t="s">
        <v>188</v>
      </c>
      <c r="F287" s="350" t="s">
        <v>252</v>
      </c>
      <c r="G287" s="351" t="s">
        <v>161</v>
      </c>
      <c r="H287" s="23"/>
      <c r="I287" s="229"/>
    </row>
    <row r="288" spans="1:10" ht="17.149999999999999" customHeight="1" x14ac:dyDescent="0.7">
      <c r="A288" s="9"/>
      <c r="B288" s="32"/>
      <c r="C288" s="27" t="str">
        <f>C278</f>
        <v>2022-23</v>
      </c>
      <c r="D288" s="297">
        <f>(D278*E278)+(F278*G278)+(H278*I278)+E283</f>
        <v>20107317.670000002</v>
      </c>
      <c r="E288" s="269">
        <f>Data!C96+Data!C107</f>
        <v>19940317.789999999</v>
      </c>
      <c r="F288" s="269">
        <f>E288-D288</f>
        <v>-166999.88000000268</v>
      </c>
      <c r="G288" s="319" t="str">
        <f>IF(E288-D288&lt;0,"Understated","No")</f>
        <v>Understated</v>
      </c>
      <c r="H288" s="310"/>
      <c r="I288" s="310"/>
    </row>
    <row r="289" spans="1:9" ht="17.149999999999999" customHeight="1" x14ac:dyDescent="0.7">
      <c r="A289" s="9"/>
      <c r="B289" s="32"/>
      <c r="C289" s="27" t="str">
        <f>C279</f>
        <v>2023-24</v>
      </c>
      <c r="D289" s="297">
        <f>(D279*E279)+(F279*G279)+(H279*I279)+E284</f>
        <v>20107317.670000002</v>
      </c>
      <c r="E289" s="269">
        <f>Data!D96+Data!D107</f>
        <v>19940317.789999999</v>
      </c>
      <c r="F289" s="269">
        <f t="shared" ref="F289:F290" si="16">E289-D289</f>
        <v>-166999.88000000268</v>
      </c>
      <c r="G289" s="319" t="str">
        <f t="shared" ref="G289:G290" si="17">IF(E289-D289&lt;0,"Understated","No")</f>
        <v>Understated</v>
      </c>
      <c r="H289" s="310"/>
      <c r="I289" s="310"/>
    </row>
    <row r="290" spans="1:9" ht="17.149999999999999" customHeight="1" x14ac:dyDescent="0.7">
      <c r="A290" s="9"/>
      <c r="B290" s="32"/>
      <c r="C290" s="27" t="str">
        <f>C280</f>
        <v>2024-25</v>
      </c>
      <c r="D290" s="297">
        <f>(D280*E280)+(F280*G280)+(H280*I280)+E285</f>
        <v>20107317.670000002</v>
      </c>
      <c r="E290" s="269">
        <f>Data!E96+Data!E107</f>
        <v>19940317.789999999</v>
      </c>
      <c r="F290" s="269">
        <f t="shared" si="16"/>
        <v>-166999.88000000268</v>
      </c>
      <c r="G290" s="319" t="str">
        <f t="shared" si="17"/>
        <v>Understated</v>
      </c>
      <c r="H290" s="310"/>
      <c r="I290" s="310"/>
    </row>
    <row r="291" spans="1:9" ht="17.149999999999999" customHeight="1" x14ac:dyDescent="0.7">
      <c r="A291" s="9"/>
      <c r="B291" s="32"/>
      <c r="C291" s="20"/>
      <c r="D291" s="225"/>
      <c r="E291" s="220"/>
      <c r="F291" s="310"/>
      <c r="G291" s="310"/>
      <c r="H291" s="310"/>
      <c r="I291" s="310"/>
    </row>
    <row r="292" spans="1:9" ht="15.75" x14ac:dyDescent="0.7">
      <c r="A292" s="9"/>
      <c r="B292" s="9"/>
      <c r="C292" s="9"/>
      <c r="E292" s="27"/>
      <c r="F292" s="229"/>
      <c r="G292" s="230"/>
      <c r="H292" s="230"/>
    </row>
    <row r="293" spans="1:9" ht="17.149999999999999" customHeight="1" x14ac:dyDescent="0.7">
      <c r="A293" s="9"/>
      <c r="B293" s="9"/>
      <c r="C293" s="339"/>
      <c r="D293" s="525" t="s">
        <v>185</v>
      </c>
      <c r="E293" s="526"/>
      <c r="F293" s="443" t="s">
        <v>187</v>
      </c>
      <c r="G293" s="444"/>
      <c r="H293" s="352"/>
      <c r="I293" s="348"/>
    </row>
    <row r="294" spans="1:9" ht="17.149999999999999" customHeight="1" x14ac:dyDescent="0.7">
      <c r="A294" s="9"/>
      <c r="B294" s="32"/>
      <c r="C294" s="339" t="s">
        <v>180</v>
      </c>
      <c r="D294" s="340" t="s">
        <v>186</v>
      </c>
      <c r="E294" s="341" t="s">
        <v>182</v>
      </c>
      <c r="F294" s="340" t="s">
        <v>186</v>
      </c>
      <c r="G294" s="341" t="s">
        <v>182</v>
      </c>
      <c r="H294" s="345"/>
      <c r="I294" s="23"/>
    </row>
    <row r="295" spans="1:9" ht="17.149999999999999" customHeight="1" x14ac:dyDescent="0.7">
      <c r="A295" s="9"/>
      <c r="B295" s="32"/>
      <c r="C295" s="27" t="str">
        <f>C288</f>
        <v>2022-23</v>
      </c>
      <c r="D295" s="342">
        <f>Data!C17</f>
        <v>42</v>
      </c>
      <c r="E295" s="343">
        <f>Data!C25</f>
        <v>51187.571428571428</v>
      </c>
      <c r="F295" s="342">
        <f>Data!C18</f>
        <v>13</v>
      </c>
      <c r="G295" s="343">
        <f>Data!C26</f>
        <v>106317.38461538461</v>
      </c>
      <c r="H295" s="352"/>
      <c r="I295" s="348"/>
    </row>
    <row r="296" spans="1:9" ht="17.149999999999999" customHeight="1" x14ac:dyDescent="0.7">
      <c r="A296" s="9"/>
      <c r="B296" s="32"/>
      <c r="C296" s="27" t="str">
        <f>C289</f>
        <v>2023-24</v>
      </c>
      <c r="D296" s="342">
        <f>Data!D17</f>
        <v>42</v>
      </c>
      <c r="E296" s="343">
        <f>Data!D25</f>
        <v>51187.571428571428</v>
      </c>
      <c r="F296" s="342">
        <f>Data!D18</f>
        <v>13</v>
      </c>
      <c r="G296" s="343">
        <f>Data!D26</f>
        <v>106317.38461538461</v>
      </c>
      <c r="H296" s="352"/>
      <c r="I296" s="348"/>
    </row>
    <row r="297" spans="1:9" ht="17.149999999999999" customHeight="1" x14ac:dyDescent="0.7">
      <c r="A297" s="9"/>
      <c r="B297" s="32"/>
      <c r="C297" s="27" t="str">
        <f>C290</f>
        <v>2024-25</v>
      </c>
      <c r="D297" s="342">
        <f>Data!E17</f>
        <v>42</v>
      </c>
      <c r="E297" s="343">
        <f>Data!E25</f>
        <v>51187.571428571428</v>
      </c>
      <c r="F297" s="342">
        <f>Data!E18</f>
        <v>13</v>
      </c>
      <c r="G297" s="343">
        <f>Data!E26</f>
        <v>106317.38461538461</v>
      </c>
      <c r="H297" s="352"/>
      <c r="I297" s="348"/>
    </row>
    <row r="298" spans="1:9" ht="15.75" x14ac:dyDescent="0.7">
      <c r="A298" s="9"/>
      <c r="B298" s="32"/>
      <c r="C298" s="23"/>
      <c r="D298" s="11"/>
      <c r="E298" s="23"/>
      <c r="F298" s="308"/>
      <c r="G298" s="345"/>
      <c r="H298" s="345"/>
      <c r="I298" s="11"/>
    </row>
    <row r="299" spans="1:9" ht="17.149999999999999" customHeight="1" x14ac:dyDescent="0.7">
      <c r="A299" s="9"/>
      <c r="B299" s="9"/>
      <c r="C299" s="300"/>
      <c r="D299" s="486" t="s">
        <v>233</v>
      </c>
      <c r="E299" s="487"/>
      <c r="F299" s="590"/>
      <c r="G299" s="590"/>
      <c r="H299" s="476"/>
      <c r="I299" s="476"/>
    </row>
    <row r="300" spans="1:9" ht="17.149999999999999" customHeight="1" x14ac:dyDescent="0.7">
      <c r="A300" s="9"/>
      <c r="B300" s="32"/>
      <c r="C300" s="27" t="str">
        <f>C295</f>
        <v>2022-23</v>
      </c>
      <c r="D300" s="346"/>
      <c r="E300" s="343">
        <f>Data!C27</f>
        <v>0</v>
      </c>
      <c r="F300" s="346"/>
      <c r="G300" s="347"/>
      <c r="H300" s="346"/>
      <c r="I300" s="348"/>
    </row>
    <row r="301" spans="1:9" ht="17.149999999999999" customHeight="1" x14ac:dyDescent="0.7">
      <c r="A301" s="9"/>
      <c r="B301" s="32"/>
      <c r="C301" s="27" t="str">
        <f t="shared" ref="C301:C302" si="18">C296</f>
        <v>2023-24</v>
      </c>
      <c r="D301" s="346"/>
      <c r="E301" s="343">
        <f>Data!D27</f>
        <v>0</v>
      </c>
      <c r="F301" s="346"/>
      <c r="G301" s="347"/>
      <c r="H301" s="346"/>
      <c r="I301" s="348"/>
    </row>
    <row r="302" spans="1:9" ht="17.149999999999999" customHeight="1" x14ac:dyDescent="0.7">
      <c r="A302" s="9"/>
      <c r="B302" s="32"/>
      <c r="C302" s="27" t="str">
        <f t="shared" si="18"/>
        <v>2024-25</v>
      </c>
      <c r="D302" s="346"/>
      <c r="E302" s="343">
        <f>Data!E27</f>
        <v>0</v>
      </c>
      <c r="F302" s="346"/>
      <c r="G302" s="347"/>
      <c r="H302" s="346"/>
      <c r="I302" s="348"/>
    </row>
    <row r="303" spans="1:9" ht="15.75" x14ac:dyDescent="0.7">
      <c r="A303" s="9"/>
      <c r="B303" s="32"/>
      <c r="C303" s="23"/>
      <c r="D303" s="11"/>
      <c r="E303" s="23"/>
      <c r="F303" s="308"/>
      <c r="G303" s="345"/>
      <c r="H303" s="345"/>
      <c r="I303" s="11"/>
    </row>
    <row r="304" spans="1:9" ht="37.5" customHeight="1" x14ac:dyDescent="0.7">
      <c r="A304" s="9"/>
      <c r="B304" s="32"/>
      <c r="C304" s="23"/>
      <c r="D304" s="349" t="s">
        <v>235</v>
      </c>
      <c r="E304" s="350" t="s">
        <v>188</v>
      </c>
      <c r="F304" s="350" t="s">
        <v>252</v>
      </c>
      <c r="G304" s="351" t="s">
        <v>161</v>
      </c>
      <c r="H304" s="23"/>
      <c r="I304" s="229"/>
    </row>
    <row r="305" spans="1:10" ht="17.149999999999999" customHeight="1" x14ac:dyDescent="0.7">
      <c r="A305" s="9"/>
      <c r="B305" s="32"/>
      <c r="C305" s="27" t="str">
        <f>C295</f>
        <v>2022-23</v>
      </c>
      <c r="D305" s="297">
        <f>(D295*E295)+(F295*G295)+E300</f>
        <v>3532004</v>
      </c>
      <c r="E305" s="269">
        <f>Data!C97+Data!C108</f>
        <v>3532004.21</v>
      </c>
      <c r="F305" s="269">
        <f>E305-D305</f>
        <v>0.2099999999627471</v>
      </c>
      <c r="G305" s="319" t="str">
        <f>IF(E305-D305&lt;0,"Understated","No")</f>
        <v>No</v>
      </c>
      <c r="H305" s="310"/>
      <c r="I305" s="310"/>
    </row>
    <row r="306" spans="1:10" ht="17.149999999999999" customHeight="1" x14ac:dyDescent="0.7">
      <c r="A306" s="9"/>
      <c r="B306" s="32"/>
      <c r="C306" s="27" t="str">
        <f>C296</f>
        <v>2023-24</v>
      </c>
      <c r="D306" s="297">
        <f>(D296*E296)+(F296*G296)+E301</f>
        <v>3532004</v>
      </c>
      <c r="E306" s="269">
        <f>Data!D97+Data!D108</f>
        <v>3532004.21</v>
      </c>
      <c r="F306" s="269">
        <f t="shared" ref="F306:F307" si="19">E306-D306</f>
        <v>0.2099999999627471</v>
      </c>
      <c r="G306" s="319" t="str">
        <f t="shared" ref="G306:G307" si="20">IF(E306-D306&lt;0,"Understated","No")</f>
        <v>No</v>
      </c>
      <c r="H306" s="310"/>
      <c r="I306" s="310"/>
    </row>
    <row r="307" spans="1:10" ht="17.149999999999999" customHeight="1" x14ac:dyDescent="0.7">
      <c r="A307" s="9"/>
      <c r="B307" s="32"/>
      <c r="C307" s="27" t="str">
        <f>C297</f>
        <v>2024-25</v>
      </c>
      <c r="D307" s="297">
        <f>(D297*E297)+(F297*G297)+E302</f>
        <v>3532004</v>
      </c>
      <c r="E307" s="269">
        <f>Data!E97+Data!E108</f>
        <v>3532004.21</v>
      </c>
      <c r="F307" s="269">
        <f t="shared" si="19"/>
        <v>0.2099999999627471</v>
      </c>
      <c r="G307" s="319" t="str">
        <f t="shared" si="20"/>
        <v>No</v>
      </c>
      <c r="H307" s="310"/>
      <c r="I307" s="310"/>
    </row>
    <row r="308" spans="1:10" ht="17.149999999999999" customHeight="1" thickBot="1" x14ac:dyDescent="0.85">
      <c r="A308" s="9"/>
      <c r="B308" s="32"/>
      <c r="C308" s="20"/>
      <c r="D308" s="225"/>
      <c r="E308" s="220"/>
      <c r="F308" s="310"/>
      <c r="G308" s="310"/>
      <c r="H308" s="310"/>
      <c r="I308" s="310"/>
    </row>
    <row r="309" spans="1:10" s="4" customFormat="1" ht="29.25" customHeight="1" thickBot="1" x14ac:dyDescent="0.75">
      <c r="B309" s="459" t="s">
        <v>245</v>
      </c>
      <c r="C309" s="460"/>
      <c r="D309" s="460"/>
      <c r="E309" s="460"/>
      <c r="F309" s="460"/>
      <c r="G309" s="460"/>
      <c r="H309" s="460"/>
      <c r="I309" s="461"/>
    </row>
    <row r="310" spans="1:10" s="4" customFormat="1" ht="94.5" customHeight="1" x14ac:dyDescent="0.55000000000000004">
      <c r="B310" s="440" t="s">
        <v>364</v>
      </c>
      <c r="C310" s="441"/>
      <c r="D310" s="441"/>
      <c r="E310" s="441"/>
      <c r="F310" s="441"/>
      <c r="G310" s="441"/>
      <c r="H310" s="441"/>
      <c r="I310" s="442"/>
    </row>
    <row r="311" spans="1:10" ht="17.149999999999999" customHeight="1" x14ac:dyDescent="0.7">
      <c r="A311" s="9"/>
      <c r="B311" s="32"/>
      <c r="C311" s="11"/>
      <c r="D311" s="11"/>
      <c r="E311" s="220"/>
      <c r="F311" s="308"/>
      <c r="G311" s="310"/>
      <c r="H311" s="310"/>
      <c r="I311" s="11"/>
    </row>
    <row r="312" spans="1:10" ht="17.149999999999999" customHeight="1" x14ac:dyDescent="0.7">
      <c r="A312" s="9"/>
      <c r="B312" s="9" t="s">
        <v>246</v>
      </c>
      <c r="C312" s="253"/>
      <c r="D312" s="253"/>
      <c r="E312" s="253"/>
      <c r="F312" s="253"/>
      <c r="G312" s="253"/>
      <c r="H312" s="253"/>
      <c r="I312" s="253"/>
    </row>
    <row r="313" spans="1:10" ht="17.149999999999999" customHeight="1" x14ac:dyDescent="0.7">
      <c r="A313" s="9"/>
      <c r="B313" s="9" t="s">
        <v>155</v>
      </c>
      <c r="C313" s="9" t="s">
        <v>178</v>
      </c>
      <c r="D313" s="11"/>
      <c r="E313" s="23"/>
      <c r="F313" s="308"/>
      <c r="G313" s="309"/>
      <c r="H313" s="310"/>
      <c r="I313" s="11"/>
    </row>
    <row r="314" spans="1:10" ht="29.25" customHeight="1" x14ac:dyDescent="0.7">
      <c r="A314" s="9"/>
      <c r="B314" s="32"/>
      <c r="C314" s="11"/>
      <c r="D314" s="311" t="s">
        <v>236</v>
      </c>
      <c r="E314" s="312" t="s">
        <v>240</v>
      </c>
      <c r="F314" s="313" t="s">
        <v>163</v>
      </c>
      <c r="G314" s="314" t="s">
        <v>164</v>
      </c>
      <c r="H314" s="315" t="s">
        <v>242</v>
      </c>
      <c r="I314" s="315" t="s">
        <v>243</v>
      </c>
      <c r="J314" s="316"/>
    </row>
    <row r="315" spans="1:10" ht="17.149999999999999" customHeight="1" x14ac:dyDescent="0.7">
      <c r="A315" s="9"/>
      <c r="B315" s="32"/>
      <c r="C315" s="27" t="str">
        <f>C288</f>
        <v>2022-23</v>
      </c>
      <c r="D315" s="297">
        <f>IF(Data!C32&lt;&gt;0,Data!C32*((E278*D278)+(G278*F278)+(I278*H278)),Data!C34*(Review!D278+Review!F278+Review!H278))</f>
        <v>3808600.6749700005</v>
      </c>
      <c r="E315" s="297">
        <f>IF(Data!C33&lt;&gt;0,Data!C33*((D295*E295)+(F295*G295)),Data!C35*(Review!D295+Review!F295))</f>
        <v>474583.99999999994</v>
      </c>
      <c r="F315" s="297">
        <f>Data!C30*(D278+F278+H278)</f>
        <v>2183086.4</v>
      </c>
      <c r="G315" s="297">
        <f>Data!C29*(D295+F295)</f>
        <v>619312.91956521745</v>
      </c>
      <c r="H315" s="297">
        <f>(Data!C38+Data!C39+Data!C40)*E288</f>
        <v>827523.18828500004</v>
      </c>
      <c r="I315" s="297">
        <f>(Data!C37+Data!C38+Data!C39+Data!C40)*E305</f>
        <v>365562.43573500001</v>
      </c>
      <c r="J315" s="213"/>
    </row>
    <row r="316" spans="1:10" ht="17.149999999999999" customHeight="1" x14ac:dyDescent="0.7">
      <c r="A316" s="9"/>
      <c r="B316" s="32"/>
      <c r="C316" s="27" t="str">
        <f>C289</f>
        <v>2023-24</v>
      </c>
      <c r="D316" s="297">
        <f>IF(Data!D32&lt;&gt;0,Data!D32*((E279*D279)+(G279*F279)+(I279*H279)),Data!D32*(D279+F279+H279))</f>
        <v>3808600.6749700005</v>
      </c>
      <c r="E316" s="297">
        <f>IF(Data!D33&lt;&gt;0,Data!D33*((D296*E296)+(F296*G296)),Data!D35*(Review!D296+Review!F296))</f>
        <v>474583.99999999994</v>
      </c>
      <c r="F316" s="297">
        <f>Data!D30*(D279+F279+H279)</f>
        <v>2183086.4</v>
      </c>
      <c r="G316" s="297">
        <f>Data!D29*(D296+F296)</f>
        <v>619312.91956521745</v>
      </c>
      <c r="H316" s="297">
        <f>(Data!D38+Data!D39+Data!D40)*E289</f>
        <v>827523.18828500004</v>
      </c>
      <c r="I316" s="297">
        <f>(Data!D37+Data!D38+Data!D39+Data!D40)*E306</f>
        <v>365562.43573500001</v>
      </c>
      <c r="J316" s="213"/>
    </row>
    <row r="317" spans="1:10" ht="17.149999999999999" customHeight="1" x14ac:dyDescent="0.7">
      <c r="A317" s="9"/>
      <c r="B317" s="32"/>
      <c r="C317" s="27" t="str">
        <f>C290</f>
        <v>2024-25</v>
      </c>
      <c r="D317" s="297">
        <f>IF(Data!E32&lt;&gt;0,Data!E32*((E280*D280)+(G280*F280)+(I280*H280)),Data!E32*(D280+F280+H280))</f>
        <v>3808600.6749700005</v>
      </c>
      <c r="E317" s="297">
        <f>IF(Data!E33&lt;&gt;0,Data!E33*((D297*E297)+(F297*G297)),Data!E35*(Review!D297+Review!F297))</f>
        <v>474583.99999999994</v>
      </c>
      <c r="F317" s="297">
        <f>Data!E30*(D280+F280+H280)</f>
        <v>2183086.4</v>
      </c>
      <c r="G317" s="297">
        <f>Data!E29*(D297+F297)</f>
        <v>619312.91956521745</v>
      </c>
      <c r="H317" s="297">
        <f>(Data!E38+Data!E39+Data!E40)*E290</f>
        <v>827523.18828500004</v>
      </c>
      <c r="I317" s="297">
        <f>(Data!E37+Data!E38+Data!E39+Data!E40)*E307</f>
        <v>365562.43573500001</v>
      </c>
      <c r="J317" s="213"/>
    </row>
    <row r="318" spans="1:10" ht="17.149999999999999" customHeight="1" thickBot="1" x14ac:dyDescent="0.85">
      <c r="A318" s="9"/>
      <c r="B318" s="32"/>
      <c r="C318" s="23"/>
      <c r="D318" s="11"/>
      <c r="E318" s="23"/>
      <c r="F318" s="308"/>
      <c r="G318" s="309"/>
      <c r="H318" s="309"/>
      <c r="I318" s="11"/>
    </row>
    <row r="319" spans="1:10" ht="33" customHeight="1" x14ac:dyDescent="0.7">
      <c r="A319" s="9"/>
      <c r="B319" s="32"/>
      <c r="C319" s="23"/>
      <c r="D319" s="301" t="s">
        <v>165</v>
      </c>
      <c r="E319" s="317" t="s">
        <v>189</v>
      </c>
      <c r="F319" s="318" t="s">
        <v>161</v>
      </c>
      <c r="G319" s="462" t="s">
        <v>255</v>
      </c>
      <c r="H319" s="463"/>
      <c r="I319" s="463"/>
      <c r="J319" s="464"/>
    </row>
    <row r="320" spans="1:10" ht="17.149999999999999" customHeight="1" x14ac:dyDescent="0.7">
      <c r="A320" s="9"/>
      <c r="B320" s="32"/>
      <c r="C320" s="27" t="str">
        <f>C315</f>
        <v>2022-23</v>
      </c>
      <c r="D320" s="297">
        <f>SUM(D315:I315)</f>
        <v>8278669.6185552171</v>
      </c>
      <c r="E320" s="297">
        <f>Data!C98+Data!C109</f>
        <v>8324107.5699999994</v>
      </c>
      <c r="F320" s="405" t="str">
        <f>IF(E320-D320&lt;0,E320-D320,"No")</f>
        <v>No</v>
      </c>
      <c r="G320" s="477"/>
      <c r="H320" s="478"/>
      <c r="I320" s="478"/>
      <c r="J320" s="479"/>
    </row>
    <row r="321" spans="1:10" ht="17.149999999999999" customHeight="1" x14ac:dyDescent="0.7">
      <c r="A321" s="9"/>
      <c r="B321" s="32"/>
      <c r="C321" s="27" t="str">
        <f t="shared" ref="C321:C322" si="21">C316</f>
        <v>2023-24</v>
      </c>
      <c r="D321" s="297">
        <f t="shared" ref="D321:D322" si="22">SUM(D316:I316)</f>
        <v>8278669.6185552171</v>
      </c>
      <c r="E321" s="297">
        <f>Data!D98+Data!D109</f>
        <v>8324107.5699999994</v>
      </c>
      <c r="F321" s="405" t="str">
        <f>IF(E321-D321&lt;0,E321-D321,"No")</f>
        <v>No</v>
      </c>
      <c r="G321" s="480"/>
      <c r="H321" s="481"/>
      <c r="I321" s="481"/>
      <c r="J321" s="482"/>
    </row>
    <row r="322" spans="1:10" ht="17.149999999999999" customHeight="1" x14ac:dyDescent="0.7">
      <c r="A322" s="9"/>
      <c r="B322" s="32"/>
      <c r="C322" s="27" t="str">
        <f t="shared" si="21"/>
        <v>2024-25</v>
      </c>
      <c r="D322" s="297">
        <f t="shared" si="22"/>
        <v>8278669.6185552171</v>
      </c>
      <c r="E322" s="297">
        <f>Data!E98+Data!E109</f>
        <v>8324107.5699999994</v>
      </c>
      <c r="F322" s="405" t="str">
        <f>IF(E322-D322&lt;0,E322-D322,"No")</f>
        <v>No</v>
      </c>
      <c r="G322" s="480"/>
      <c r="H322" s="481"/>
      <c r="I322" s="481"/>
      <c r="J322" s="482"/>
    </row>
    <row r="323" spans="1:10" ht="33" customHeight="1" x14ac:dyDescent="0.7">
      <c r="A323" s="9"/>
      <c r="B323" s="32"/>
      <c r="C323" s="11"/>
      <c r="D323" s="11"/>
      <c r="E323" s="23"/>
      <c r="F323" s="308"/>
      <c r="G323" s="480"/>
      <c r="H323" s="481"/>
      <c r="I323" s="481"/>
      <c r="J323" s="482"/>
    </row>
    <row r="324" spans="1:10" ht="17.149999999999999" customHeight="1" x14ac:dyDescent="0.7">
      <c r="A324" s="9"/>
      <c r="B324" s="32"/>
      <c r="G324" s="483"/>
      <c r="H324" s="484"/>
      <c r="I324" s="484"/>
      <c r="J324" s="485"/>
    </row>
    <row r="325" spans="1:10" ht="17.149999999999999" customHeight="1" thickBot="1" x14ac:dyDescent="0.85">
      <c r="A325" s="9"/>
      <c r="B325" s="32"/>
      <c r="C325" s="458" t="s">
        <v>78</v>
      </c>
      <c r="D325" s="458"/>
      <c r="E325" s="458"/>
      <c r="F325" s="458"/>
      <c r="G325" s="458"/>
      <c r="H325" s="458"/>
    </row>
    <row r="326" spans="1:10" s="11" customFormat="1" ht="17.149999999999999" customHeight="1" thickBot="1" x14ac:dyDescent="0.75">
      <c r="A326" s="20"/>
      <c r="B326" s="320"/>
      <c r="C326" s="454" t="s">
        <v>79</v>
      </c>
      <c r="D326" s="455"/>
      <c r="E326" s="321" t="str">
        <f>E205</f>
        <v>2022-23</v>
      </c>
      <c r="F326" s="321" t="str">
        <f>F205</f>
        <v>2023-24</v>
      </c>
      <c r="G326" s="322" t="str">
        <f>G205</f>
        <v>2024-25</v>
      </c>
      <c r="H326" s="238"/>
    </row>
    <row r="327" spans="1:10" s="11" customFormat="1" ht="17.149999999999999" customHeight="1" x14ac:dyDescent="0.6">
      <c r="A327" s="20"/>
      <c r="B327" s="303"/>
      <c r="C327" s="456" t="s">
        <v>80</v>
      </c>
      <c r="D327" s="456"/>
      <c r="E327" s="177">
        <f>Data!C32</f>
        <v>0.191</v>
      </c>
      <c r="F327" s="177">
        <f>Data!D32</f>
        <v>0.191</v>
      </c>
      <c r="G327" s="177">
        <f>Data!E32</f>
        <v>0.191</v>
      </c>
      <c r="H327" s="238"/>
    </row>
    <row r="328" spans="1:10" s="11" customFormat="1" ht="17.149999999999999" customHeight="1" x14ac:dyDescent="0.6">
      <c r="A328" s="20"/>
      <c r="B328" s="303"/>
      <c r="C328" s="457" t="s">
        <v>81</v>
      </c>
      <c r="D328" s="457"/>
      <c r="E328" s="323">
        <v>0.191</v>
      </c>
      <c r="F328" s="323">
        <v>0.191</v>
      </c>
      <c r="G328" s="323">
        <v>0.191</v>
      </c>
      <c r="H328" s="238"/>
    </row>
    <row r="329" spans="1:10" s="11" customFormat="1" ht="17.149999999999999" customHeight="1" x14ac:dyDescent="0.6">
      <c r="A329" s="20"/>
      <c r="B329" s="303"/>
      <c r="C329" s="227"/>
      <c r="D329" s="238"/>
      <c r="E329" s="268" t="str">
        <f>IF(E328&gt;F327,"Understated",IF(E328="","",IF(E327&gt;E328,"Overstated","Agrees")))</f>
        <v>Agrees</v>
      </c>
      <c r="F329" s="268" t="str">
        <f>IF(F328&gt;F327,"Understated",IF(F328="","",IF(F327&gt;F328,"Overstated","Agrees")))</f>
        <v>Agrees</v>
      </c>
      <c r="G329" s="268" t="str">
        <f>IF(G328&gt;G327,"Understated",IF(G328="","",IF(G327&gt;G328,"Overstated","Agrees")))</f>
        <v>Agrees</v>
      </c>
      <c r="H329" s="238"/>
    </row>
    <row r="330" spans="1:10" s="11" customFormat="1" ht="17.149999999999999" customHeight="1" thickBot="1" x14ac:dyDescent="0.75">
      <c r="A330" s="20"/>
      <c r="B330" s="303"/>
      <c r="C330" s="227"/>
      <c r="D330" s="238"/>
      <c r="E330" s="238"/>
      <c r="F330" s="238"/>
      <c r="G330" s="238"/>
      <c r="H330" s="238"/>
    </row>
    <row r="331" spans="1:10" s="11" customFormat="1" ht="17.149999999999999" customHeight="1" thickBot="1" x14ac:dyDescent="0.75">
      <c r="A331" s="20"/>
      <c r="B331" s="303"/>
      <c r="C331" s="454" t="s">
        <v>82</v>
      </c>
      <c r="D331" s="455"/>
      <c r="E331" s="321" t="str">
        <f>E326</f>
        <v>2022-23</v>
      </c>
      <c r="F331" s="321" t="str">
        <f>F326</f>
        <v>2023-24</v>
      </c>
      <c r="G331" s="322" t="str">
        <f>G326</f>
        <v>2024-25</v>
      </c>
      <c r="H331" s="238"/>
    </row>
    <row r="332" spans="1:10" s="11" customFormat="1" ht="17.149999999999999" customHeight="1" x14ac:dyDescent="0.6">
      <c r="A332" s="20"/>
      <c r="B332" s="303"/>
      <c r="C332" s="456" t="s">
        <v>80</v>
      </c>
      <c r="D332" s="456"/>
      <c r="E332" s="324">
        <f>Data!C33</f>
        <v>0</v>
      </c>
      <c r="F332" s="324">
        <f>Data!D33</f>
        <v>0</v>
      </c>
      <c r="G332" s="324">
        <f>Data!E33</f>
        <v>0</v>
      </c>
      <c r="H332" s="238"/>
    </row>
    <row r="333" spans="1:10" s="11" customFormat="1" ht="17.149999999999999" customHeight="1" x14ac:dyDescent="0.6">
      <c r="A333" s="20"/>
      <c r="B333" s="303"/>
      <c r="C333" s="457" t="s">
        <v>81</v>
      </c>
      <c r="D333" s="457"/>
      <c r="E333" s="323">
        <v>0</v>
      </c>
      <c r="F333" s="323">
        <v>0</v>
      </c>
      <c r="G333" s="323">
        <v>0</v>
      </c>
      <c r="H333" s="238"/>
    </row>
    <row r="334" spans="1:10" ht="17.149999999999999" customHeight="1" x14ac:dyDescent="0.7">
      <c r="A334" s="9"/>
      <c r="B334" s="32"/>
      <c r="C334" s="35"/>
      <c r="D334" s="122"/>
      <c r="E334" s="268" t="str">
        <f>IF(E333&gt;E332,"Understated",IF(E333&lt;E332,"Overstated",""))</f>
        <v/>
      </c>
      <c r="F334" s="268" t="str">
        <f t="shared" ref="F334:G334" si="23">IF(F333&gt;F332,"Understated",IF(F333&lt;F332,"Overstated",""))</f>
        <v/>
      </c>
      <c r="G334" s="268" t="str">
        <f t="shared" si="23"/>
        <v/>
      </c>
      <c r="H334" s="122"/>
    </row>
    <row r="335" spans="1:10" ht="17.149999999999999" customHeight="1" thickBot="1" x14ac:dyDescent="0.85">
      <c r="A335" s="9"/>
      <c r="B335" s="32"/>
      <c r="C335" s="35"/>
      <c r="D335" s="122"/>
      <c r="E335" s="48"/>
      <c r="F335" s="48"/>
      <c r="G335" s="48"/>
      <c r="H335" s="122"/>
    </row>
    <row r="336" spans="1:10" s="11" customFormat="1" ht="39.75" thickBot="1" x14ac:dyDescent="0.85">
      <c r="A336" s="20"/>
      <c r="C336" s="300" t="s">
        <v>247</v>
      </c>
      <c r="D336" s="301" t="s">
        <v>248</v>
      </c>
      <c r="E336" s="301" t="s">
        <v>249</v>
      </c>
      <c r="F336" s="301" t="s">
        <v>250</v>
      </c>
      <c r="G336" s="302" t="s">
        <v>251</v>
      </c>
      <c r="H336" s="465" t="s">
        <v>263</v>
      </c>
      <c r="I336" s="466"/>
      <c r="J336" s="467"/>
    </row>
    <row r="337" spans="1:10" s="11" customFormat="1" ht="17.149999999999999" customHeight="1" x14ac:dyDescent="0.6">
      <c r="A337" s="20"/>
      <c r="B337" s="303"/>
      <c r="C337" s="23" t="str">
        <f>B134</f>
        <v>2019-20</v>
      </c>
      <c r="D337" s="304">
        <v>0</v>
      </c>
      <c r="E337" s="305">
        <v>0</v>
      </c>
      <c r="F337" s="306" t="str">
        <f>IF(E337&gt;0,E337/D337,IF(E337&lt;0,E337/D337,"Missing Data"))</f>
        <v>Missing Data</v>
      </c>
      <c r="G337" s="233"/>
      <c r="H337" s="468" t="s">
        <v>365</v>
      </c>
      <c r="I337" s="469"/>
      <c r="J337" s="470"/>
    </row>
    <row r="338" spans="1:10" s="11" customFormat="1" ht="17.149999999999999" customHeight="1" x14ac:dyDescent="0.6">
      <c r="A338" s="20"/>
      <c r="B338" s="303"/>
      <c r="C338" s="23" t="str">
        <f t="shared" ref="C338:C339" si="24">B135</f>
        <v>2020-21</v>
      </c>
      <c r="D338" s="304">
        <v>15207005</v>
      </c>
      <c r="E338" s="305">
        <v>4308680</v>
      </c>
      <c r="F338" s="306">
        <f t="shared" ref="F338:F342" si="25">IF(E338&gt;0,E338/D338,IF(E338&lt;0,E338/D338,"Missing Data"))</f>
        <v>0.28333521294955843</v>
      </c>
      <c r="G338" s="233"/>
      <c r="H338" s="471"/>
      <c r="I338" s="472"/>
      <c r="J338" s="473"/>
    </row>
    <row r="339" spans="1:10" s="11" customFormat="1" ht="17.149999999999999" customHeight="1" x14ac:dyDescent="0.6">
      <c r="A339" s="20"/>
      <c r="B339" s="303"/>
      <c r="C339" s="23" t="str">
        <f t="shared" si="24"/>
        <v>2021-22</v>
      </c>
      <c r="D339" s="407">
        <f>Data!B96+Data!B97+Data!B107+Data!B108</f>
        <v>22438612</v>
      </c>
      <c r="E339" s="408">
        <f>Data!B98+Data!B109</f>
        <v>6784509</v>
      </c>
      <c r="F339" s="306">
        <f t="shared" si="25"/>
        <v>0.30235867530487182</v>
      </c>
      <c r="G339" s="233"/>
      <c r="H339" s="471"/>
      <c r="I339" s="472"/>
      <c r="J339" s="473"/>
    </row>
    <row r="340" spans="1:10" s="11" customFormat="1" ht="17.149999999999999" customHeight="1" x14ac:dyDescent="0.6">
      <c r="A340" s="20"/>
      <c r="B340" s="303"/>
      <c r="C340" s="27" t="str">
        <f>C320</f>
        <v>2022-23</v>
      </c>
      <c r="D340" s="409">
        <f>Data!C96+Data!C97+Data!C107+Data!C108</f>
        <v>23472322</v>
      </c>
      <c r="E340" s="410">
        <f>Data!C98+Data!C109</f>
        <v>8324107.5699999994</v>
      </c>
      <c r="F340" s="306">
        <f t="shared" si="25"/>
        <v>0.35463502801299329</v>
      </c>
      <c r="G340" s="301" t="str">
        <f>IF($F$343="Insufficient History","Insufficient History",IF(F340&lt;$F$343-0.05,"Yes",IF(F340&gt;$F$343+0.05,"Yes","No")))</f>
        <v>Yes</v>
      </c>
      <c r="H340" s="471"/>
      <c r="I340" s="472"/>
      <c r="J340" s="473"/>
    </row>
    <row r="341" spans="1:10" s="11" customFormat="1" ht="17.149999999999999" customHeight="1" x14ac:dyDescent="0.6">
      <c r="A341" s="20"/>
      <c r="B341" s="303"/>
      <c r="C341" s="27" t="str">
        <f>C321</f>
        <v>2023-24</v>
      </c>
      <c r="D341" s="409">
        <f>Data!D96+Data!D97+Data!D107+Data!D108</f>
        <v>23472322</v>
      </c>
      <c r="E341" s="410">
        <f>Data!D98+Data!D109</f>
        <v>8324107.5699999994</v>
      </c>
      <c r="F341" s="306">
        <f t="shared" si="25"/>
        <v>0.35463502801299329</v>
      </c>
      <c r="G341" s="301" t="str">
        <f t="shared" ref="G341:G342" si="26">IF($F$343="Insufficient History","Insufficient History",IF(F341&lt;$F$343-0.05,"Yes",IF(F341&gt;$F$343+0.05,"Yes","No")))</f>
        <v>Yes</v>
      </c>
      <c r="H341" s="471"/>
      <c r="I341" s="472"/>
      <c r="J341" s="473"/>
    </row>
    <row r="342" spans="1:10" s="11" customFormat="1" ht="17.149999999999999" customHeight="1" thickBot="1" x14ac:dyDescent="0.75">
      <c r="A342" s="20"/>
      <c r="B342" s="303"/>
      <c r="C342" s="27" t="str">
        <f>C322</f>
        <v>2024-25</v>
      </c>
      <c r="D342" s="409">
        <f>Data!E96+Data!E97+Data!E107+Data!E108</f>
        <v>23472322</v>
      </c>
      <c r="E342" s="410">
        <f>Data!E98+Data!E109</f>
        <v>8324107.5699999994</v>
      </c>
      <c r="F342" s="306">
        <f t="shared" si="25"/>
        <v>0.35463502801299329</v>
      </c>
      <c r="G342" s="301" t="str">
        <f t="shared" si="26"/>
        <v>Yes</v>
      </c>
      <c r="H342" s="471"/>
      <c r="I342" s="472"/>
      <c r="J342" s="473"/>
    </row>
    <row r="343" spans="1:10" s="11" customFormat="1" ht="34.5" customHeight="1" thickBot="1" x14ac:dyDescent="0.75">
      <c r="A343" s="20"/>
      <c r="B343" s="303"/>
      <c r="C343" s="474" t="s">
        <v>114</v>
      </c>
      <c r="D343" s="475"/>
      <c r="F343" s="406">
        <f>IF(F337="","Insufficient History",SUM(F337:F339)/3)</f>
        <v>0.19523129608481007</v>
      </c>
      <c r="G343" s="307"/>
      <c r="H343" s="471"/>
      <c r="I343" s="472"/>
      <c r="J343" s="473"/>
    </row>
    <row r="344" spans="1:10" ht="17.149999999999999" customHeight="1" x14ac:dyDescent="0.7">
      <c r="A344" s="9"/>
      <c r="B344" s="32"/>
      <c r="C344" s="122"/>
      <c r="D344" s="122"/>
      <c r="E344" s="122"/>
      <c r="F344" s="122"/>
      <c r="G344" s="122"/>
      <c r="H344" s="122"/>
    </row>
    <row r="345" spans="1:10" ht="17.149999999999999" customHeight="1" x14ac:dyDescent="0.7">
      <c r="A345" s="9"/>
      <c r="B345" s="9" t="s">
        <v>179</v>
      </c>
      <c r="C345" s="122"/>
      <c r="D345" s="122"/>
      <c r="E345" s="122"/>
      <c r="F345" s="122"/>
      <c r="G345" s="122"/>
      <c r="H345" s="122"/>
    </row>
    <row r="346" spans="1:10" ht="17.149999999999999" customHeight="1" x14ac:dyDescent="0.7">
      <c r="B346" s="9" t="s">
        <v>259</v>
      </c>
      <c r="C346" s="9"/>
      <c r="D346" s="9"/>
      <c r="E346" s="9"/>
      <c r="F346" s="9"/>
      <c r="G346" s="9"/>
      <c r="H346" s="1"/>
      <c r="I346" s="11"/>
      <c r="J346" s="4"/>
    </row>
    <row r="347" spans="1:10" ht="6" customHeight="1" x14ac:dyDescent="0.7">
      <c r="B347" s="325"/>
      <c r="C347" s="11"/>
      <c r="D347" s="326"/>
      <c r="E347" s="327"/>
      <c r="F347" s="325"/>
      <c r="G347" s="327"/>
      <c r="H347" s="227"/>
      <c r="I347" s="11"/>
      <c r="J347" s="4"/>
    </row>
    <row r="348" spans="1:10" ht="42.5" x14ac:dyDescent="0.7">
      <c r="B348" s="325"/>
      <c r="C348" s="11"/>
      <c r="D348" s="328" t="s">
        <v>167</v>
      </c>
      <c r="E348" s="329" t="s">
        <v>168</v>
      </c>
      <c r="F348" s="401" t="s">
        <v>169</v>
      </c>
      <c r="G348" s="330" t="s">
        <v>170</v>
      </c>
      <c r="H348" s="331" t="s">
        <v>161</v>
      </c>
      <c r="I348" s="4"/>
      <c r="J348" s="4"/>
    </row>
    <row r="349" spans="1:10" ht="17.149999999999999" customHeight="1" x14ac:dyDescent="0.7">
      <c r="B349" s="325"/>
      <c r="C349" s="27" t="str">
        <f>C320</f>
        <v>2022-23</v>
      </c>
      <c r="D349" s="332">
        <f>SUM(Data!C117:C120)</f>
        <v>182226.6</v>
      </c>
      <c r="E349" s="333">
        <f>SUM(Data!C122:C124)</f>
        <v>1161218.9109</v>
      </c>
      <c r="F349" s="402">
        <f>D349+E349</f>
        <v>1343445.5109000001</v>
      </c>
      <c r="G349" s="333">
        <f>Data!C100</f>
        <v>6525807.1399999997</v>
      </c>
      <c r="H349" s="332" t="str">
        <f>IF(G349-F349&gt;0,"No",G349-F349)</f>
        <v>No</v>
      </c>
      <c r="I349" s="4"/>
      <c r="J349" s="4"/>
    </row>
    <row r="350" spans="1:10" ht="17.149999999999999" customHeight="1" x14ac:dyDescent="0.7">
      <c r="B350" s="325"/>
      <c r="C350" s="27" t="str">
        <f>C321</f>
        <v>2023-24</v>
      </c>
      <c r="D350" s="269">
        <f>SUM(Data!D117:D120)</f>
        <v>182226.6</v>
      </c>
      <c r="E350" s="297">
        <f>SUM(Data!D122:D124)</f>
        <v>1221198.2708999999</v>
      </c>
      <c r="F350" s="399">
        <f>D350+E350</f>
        <v>1403424.8709</v>
      </c>
      <c r="G350" s="297">
        <f>Data!D100</f>
        <v>6585786.5</v>
      </c>
      <c r="H350" s="269" t="str">
        <f t="shared" ref="H350:H351" si="27">IF(G350-F350&gt;0,"No",G350-F350)</f>
        <v>No</v>
      </c>
      <c r="I350" s="4"/>
      <c r="J350" s="4"/>
    </row>
    <row r="351" spans="1:10" ht="15.75" x14ac:dyDescent="0.7">
      <c r="B351" s="325"/>
      <c r="C351" s="27" t="str">
        <f>C322</f>
        <v>2024-25</v>
      </c>
      <c r="D351" s="269">
        <f>SUM(Data!E117:E120)</f>
        <v>182226.6</v>
      </c>
      <c r="E351" s="297">
        <f>SUM(Data!E122:E124)</f>
        <v>1270527.7808999999</v>
      </c>
      <c r="F351" s="399">
        <f>D351+E351</f>
        <v>1452754.3809</v>
      </c>
      <c r="G351" s="297">
        <f>Data!E100</f>
        <v>6635116.0099999998</v>
      </c>
      <c r="H351" s="269" t="str">
        <f t="shared" si="27"/>
        <v>No</v>
      </c>
      <c r="I351" s="4"/>
      <c r="J351" s="4"/>
    </row>
    <row r="352" spans="1:10" ht="13.5" customHeight="1" thickBot="1" x14ac:dyDescent="0.85">
      <c r="B352" s="325"/>
      <c r="C352" s="227"/>
      <c r="D352" s="326"/>
      <c r="E352" s="334" t="str">
        <f>IF(D352="yes","Amount?","")</f>
        <v/>
      </c>
      <c r="F352" s="335"/>
      <c r="G352" s="327"/>
      <c r="H352" s="227" t="str">
        <f>IF(D352="yes","Included in MYP?","")</f>
        <v/>
      </c>
      <c r="I352" s="11"/>
      <c r="J352" s="4"/>
    </row>
    <row r="353" spans="1:10" ht="17.149999999999999" customHeight="1" thickBot="1" x14ac:dyDescent="0.85">
      <c r="B353" s="451" t="s">
        <v>216</v>
      </c>
      <c r="C353" s="452"/>
      <c r="D353" s="452"/>
      <c r="E353" s="452"/>
      <c r="F353" s="452"/>
      <c r="G353" s="452"/>
      <c r="H353" s="452"/>
      <c r="I353" s="453"/>
      <c r="J353" s="4"/>
    </row>
    <row r="354" spans="1:10" ht="71.25" customHeight="1" x14ac:dyDescent="0.7">
      <c r="B354" s="440"/>
      <c r="C354" s="441"/>
      <c r="D354" s="441"/>
      <c r="E354" s="441"/>
      <c r="F354" s="441"/>
      <c r="G354" s="441"/>
      <c r="H354" s="441"/>
      <c r="I354" s="442"/>
      <c r="J354" s="4"/>
    </row>
    <row r="355" spans="1:10" ht="17.149999999999999" customHeight="1" x14ac:dyDescent="0.7">
      <c r="J355" s="4"/>
    </row>
    <row r="356" spans="1:10" s="53" customFormat="1" ht="19.5" customHeight="1" x14ac:dyDescent="0.6">
      <c r="A356" s="49" t="s">
        <v>89</v>
      </c>
      <c r="B356" s="50"/>
      <c r="C356" s="50"/>
      <c r="D356" s="51"/>
      <c r="E356" s="51"/>
      <c r="F356" s="52"/>
      <c r="G356" s="50" t="s">
        <v>24</v>
      </c>
      <c r="H356" s="50"/>
      <c r="I356" s="50"/>
      <c r="J356" s="50"/>
    </row>
    <row r="357" spans="1:10" s="19" customFormat="1" ht="7.5" customHeight="1" x14ac:dyDescent="0.7">
      <c r="A357" s="7"/>
      <c r="B357" s="147"/>
      <c r="C357" s="6"/>
      <c r="F357" s="7"/>
      <c r="G357" s="4"/>
      <c r="H357" s="4"/>
      <c r="I357" s="4"/>
      <c r="J357" s="4"/>
    </row>
    <row r="358" spans="1:10" s="19" customFormat="1" ht="17.149999999999999" customHeight="1" x14ac:dyDescent="0.7">
      <c r="A358" s="7"/>
      <c r="B358" s="216" t="s">
        <v>204</v>
      </c>
      <c r="C358" s="6"/>
      <c r="F358" s="7"/>
      <c r="G358" s="4"/>
      <c r="I358" s="270" t="str">
        <f>IF((E376+G376+I376)&gt;0,"Yes",IF((E373+G373+I373)&gt;0,"Yes","No"))</f>
        <v>Yes</v>
      </c>
      <c r="J358" s="4"/>
    </row>
    <row r="359" spans="1:10" s="19" customFormat="1" ht="17.149999999999999" customHeight="1" x14ac:dyDescent="0.7">
      <c r="A359" s="7"/>
      <c r="B359" s="147"/>
      <c r="C359" s="6" t="s">
        <v>196</v>
      </c>
      <c r="F359" s="7"/>
      <c r="G359" s="4"/>
      <c r="H359" s="4"/>
      <c r="I359" s="4"/>
      <c r="J359" s="4"/>
    </row>
    <row r="360" spans="1:10" s="19" customFormat="1" ht="17.149999999999999" customHeight="1" x14ac:dyDescent="0.7">
      <c r="A360" s="7"/>
      <c r="B360" s="147"/>
      <c r="C360" s="6"/>
      <c r="D360" s="491" t="str">
        <f>C349</f>
        <v>2022-23</v>
      </c>
      <c r="E360" s="492"/>
      <c r="F360" s="491" t="str">
        <f>C350</f>
        <v>2023-24</v>
      </c>
      <c r="G360" s="492"/>
      <c r="H360" s="491" t="str">
        <f>C351</f>
        <v>2024-25</v>
      </c>
      <c r="I360" s="492"/>
      <c r="J360" s="4"/>
    </row>
    <row r="361" spans="1:10" s="19" customFormat="1" ht="17.149999999999999" customHeight="1" x14ac:dyDescent="0.7">
      <c r="A361" s="7"/>
      <c r="B361" s="147"/>
      <c r="C361" s="6"/>
      <c r="D361" s="271" t="s">
        <v>194</v>
      </c>
      <c r="E361" s="271" t="s">
        <v>195</v>
      </c>
      <c r="F361" s="271" t="s">
        <v>194</v>
      </c>
      <c r="G361" s="271" t="s">
        <v>195</v>
      </c>
      <c r="H361" s="271" t="s">
        <v>194</v>
      </c>
      <c r="I361" s="271" t="s">
        <v>195</v>
      </c>
      <c r="J361" s="4"/>
    </row>
    <row r="362" spans="1:10" s="19" customFormat="1" ht="17.149999999999999" customHeight="1" x14ac:dyDescent="0.7">
      <c r="A362" s="7"/>
      <c r="B362" s="26" t="str">
        <f>T(Data!A126)</f>
        <v>Debt</v>
      </c>
      <c r="C362" s="6"/>
      <c r="D362" s="269">
        <f>Data!C127</f>
        <v>0</v>
      </c>
      <c r="E362" s="95"/>
      <c r="F362" s="269">
        <f>Data!D127</f>
        <v>0</v>
      </c>
      <c r="G362" s="95"/>
      <c r="H362" s="269">
        <f>Data!E127</f>
        <v>0</v>
      </c>
      <c r="I362" s="95"/>
      <c r="J362" s="4"/>
    </row>
    <row r="363" spans="1:10" s="19" customFormat="1" ht="17.149999999999999" customHeight="1" x14ac:dyDescent="0.7">
      <c r="A363" s="7"/>
      <c r="B363" s="26" t="str">
        <f>T(Data!A127)</f>
        <v>State School Building Loans</v>
      </c>
      <c r="C363" s="6"/>
      <c r="D363" s="269">
        <f>Data!C128</f>
        <v>0</v>
      </c>
      <c r="E363" s="95"/>
      <c r="F363" s="269">
        <f>Data!D128</f>
        <v>0</v>
      </c>
      <c r="G363" s="95"/>
      <c r="H363" s="269">
        <f>Data!E128</f>
        <v>0</v>
      </c>
      <c r="I363" s="95"/>
      <c r="J363" s="4"/>
    </row>
    <row r="364" spans="1:10" s="19" customFormat="1" ht="17.149999999999999" customHeight="1" x14ac:dyDescent="0.7">
      <c r="A364" s="7"/>
      <c r="B364" s="26" t="str">
        <f>T(Data!A128)</f>
        <v>Charter School Start-up Loans</v>
      </c>
      <c r="C364" s="6"/>
      <c r="D364" s="269">
        <f>Data!C129</f>
        <v>0</v>
      </c>
      <c r="E364" s="95"/>
      <c r="F364" s="269">
        <f>Data!D129</f>
        <v>0</v>
      </c>
      <c r="G364" s="95"/>
      <c r="H364" s="269">
        <f>Data!E129</f>
        <v>0</v>
      </c>
      <c r="I364" s="95"/>
      <c r="J364" s="4"/>
    </row>
    <row r="365" spans="1:10" s="19" customFormat="1" ht="17.149999999999999" customHeight="1" x14ac:dyDescent="0.7">
      <c r="A365" s="7"/>
      <c r="B365" s="26" t="str">
        <f>T(Data!A129)</f>
        <v>Other Post Employment Benefits</v>
      </c>
      <c r="C365" s="6"/>
      <c r="D365" s="269">
        <f>Data!C130</f>
        <v>0</v>
      </c>
      <c r="E365" s="95"/>
      <c r="F365" s="269">
        <f>Data!D130</f>
        <v>0</v>
      </c>
      <c r="G365" s="95"/>
      <c r="H365" s="269">
        <f>Data!E130</f>
        <v>0</v>
      </c>
      <c r="I365" s="95"/>
      <c r="J365" s="4"/>
    </row>
    <row r="366" spans="1:10" s="19" customFormat="1" ht="17.149999999999999" customHeight="1" x14ac:dyDescent="0.7">
      <c r="A366" s="7"/>
      <c r="B366" s="26" t="str">
        <f>T(Data!A130)</f>
        <v>Compensated Absences</v>
      </c>
      <c r="C366" s="6"/>
      <c r="D366" s="269">
        <f>Data!C131</f>
        <v>1669997.48</v>
      </c>
      <c r="E366" s="95"/>
      <c r="F366" s="269">
        <f>Data!D131</f>
        <v>300060.09000000003</v>
      </c>
      <c r="G366" s="95"/>
      <c r="H366" s="269">
        <f>Data!E131</f>
        <v>0</v>
      </c>
      <c r="I366" s="95"/>
      <c r="J366" s="4"/>
    </row>
    <row r="367" spans="1:10" s="19" customFormat="1" ht="17.149999999999999" customHeight="1" x14ac:dyDescent="0.7">
      <c r="A367" s="7"/>
      <c r="B367" s="26" t="str">
        <f>T(Data!A131)</f>
        <v>Bank Line of Credit Loans</v>
      </c>
      <c r="C367" s="6"/>
      <c r="D367" s="269">
        <f>Data!C132</f>
        <v>0</v>
      </c>
      <c r="E367" s="95"/>
      <c r="F367" s="269">
        <f>Data!D132</f>
        <v>0</v>
      </c>
      <c r="G367" s="95"/>
      <c r="H367" s="269">
        <f>Data!E132</f>
        <v>0</v>
      </c>
      <c r="I367" s="95"/>
      <c r="J367" s="4"/>
    </row>
    <row r="368" spans="1:10" s="19" customFormat="1" ht="17.149999999999999" customHeight="1" x14ac:dyDescent="0.7">
      <c r="A368" s="7"/>
      <c r="B368" s="26" t="str">
        <f>T(Data!A132)</f>
        <v>Municipal Lease</v>
      </c>
      <c r="C368" s="6"/>
      <c r="D368" s="269">
        <f>Data!C133</f>
        <v>0</v>
      </c>
      <c r="E368" s="95"/>
      <c r="F368" s="269">
        <f>Data!D133</f>
        <v>0</v>
      </c>
      <c r="G368" s="95"/>
      <c r="H368" s="269">
        <f>Data!E133</f>
        <v>0</v>
      </c>
      <c r="I368" s="95"/>
      <c r="J368" s="4"/>
    </row>
    <row r="369" spans="1:10" s="19" customFormat="1" ht="17.149999999999999" customHeight="1" x14ac:dyDescent="0.7">
      <c r="A369" s="7"/>
      <c r="B369" s="26" t="str">
        <f>T(Data!A133)</f>
        <v>Capital Lease</v>
      </c>
      <c r="C369" s="6"/>
      <c r="D369" s="269">
        <f>Data!C134</f>
        <v>0</v>
      </c>
      <c r="E369" s="95"/>
      <c r="F369" s="269">
        <f>Data!D134</f>
        <v>0</v>
      </c>
      <c r="G369" s="95"/>
      <c r="H369" s="269">
        <f>Data!E134</f>
        <v>0</v>
      </c>
      <c r="I369" s="95"/>
      <c r="J369" s="4"/>
    </row>
    <row r="370" spans="1:10" s="19" customFormat="1" ht="17.149999999999999" customHeight="1" x14ac:dyDescent="0.7">
      <c r="A370" s="7"/>
      <c r="B370" s="26" t="str">
        <f>T(Data!A134)</f>
        <v>Capital Lease</v>
      </c>
      <c r="C370" s="6"/>
      <c r="D370" s="269">
        <f>Data!C135</f>
        <v>0</v>
      </c>
      <c r="E370" s="95"/>
      <c r="F370" s="269">
        <f>Data!D135</f>
        <v>0</v>
      </c>
      <c r="G370" s="95"/>
      <c r="H370" s="269">
        <f>Data!E135</f>
        <v>0</v>
      </c>
      <c r="I370" s="95"/>
      <c r="J370" s="4"/>
    </row>
    <row r="371" spans="1:10" s="19" customFormat="1" ht="17.149999999999999" customHeight="1" x14ac:dyDescent="0.7">
      <c r="A371" s="7"/>
      <c r="B371" s="26" t="str">
        <f>T(Data!A135)</f>
        <v>Capital Lease</v>
      </c>
      <c r="C371" s="6"/>
      <c r="D371" s="269">
        <f>Data!C136</f>
        <v>0</v>
      </c>
      <c r="E371" s="95"/>
      <c r="F371" s="269">
        <f>Data!D136</f>
        <v>0</v>
      </c>
      <c r="G371" s="95"/>
      <c r="H371" s="269">
        <f>Data!E136</f>
        <v>0</v>
      </c>
      <c r="I371" s="95"/>
      <c r="J371" s="4"/>
    </row>
    <row r="372" spans="1:10" s="19" customFormat="1" ht="17.149999999999999" customHeight="1" x14ac:dyDescent="0.7">
      <c r="A372" s="7"/>
      <c r="B372" s="26" t="str">
        <f>T(Data!A136)</f>
        <v>Inter-Agency Borrowing</v>
      </c>
      <c r="C372" s="6"/>
      <c r="D372" s="269">
        <f>Data!C137</f>
        <v>561730.09</v>
      </c>
      <c r="E372" s="95"/>
      <c r="F372" s="269">
        <f>Data!D137</f>
        <v>555832.32999999996</v>
      </c>
      <c r="G372" s="95"/>
      <c r="H372" s="269">
        <f>Data!E137</f>
        <v>550358.32999999996</v>
      </c>
      <c r="I372" s="95"/>
      <c r="J372" s="4"/>
    </row>
    <row r="373" spans="1:10" s="19" customFormat="1" ht="17.149999999999999" customHeight="1" thickBot="1" x14ac:dyDescent="0.85">
      <c r="A373" s="7"/>
      <c r="B373" s="26" t="s">
        <v>160</v>
      </c>
      <c r="C373" s="6"/>
      <c r="D373" s="272">
        <f t="shared" ref="D373:I373" si="28">SUM(D362:D372)</f>
        <v>2231727.5699999998</v>
      </c>
      <c r="E373" s="273">
        <f t="shared" si="28"/>
        <v>0</v>
      </c>
      <c r="F373" s="273">
        <f t="shared" si="28"/>
        <v>855892.41999999993</v>
      </c>
      <c r="G373" s="273">
        <f t="shared" si="28"/>
        <v>0</v>
      </c>
      <c r="H373" s="273">
        <f t="shared" si="28"/>
        <v>550358.32999999996</v>
      </c>
      <c r="I373" s="274">
        <f t="shared" si="28"/>
        <v>0</v>
      </c>
      <c r="J373" s="4"/>
    </row>
    <row r="374" spans="1:10" s="46" customFormat="1" ht="17.149999999999999" customHeight="1" thickTop="1" x14ac:dyDescent="0.7">
      <c r="A374" s="9"/>
      <c r="B374" s="275" t="s">
        <v>198</v>
      </c>
      <c r="C374" s="9"/>
      <c r="D374" s="276"/>
      <c r="E374" s="276">
        <f>E373-D373</f>
        <v>-2231727.5699999998</v>
      </c>
      <c r="F374" s="276"/>
      <c r="G374" s="276">
        <f>G373-F373</f>
        <v>-855892.41999999993</v>
      </c>
      <c r="H374" s="276"/>
      <c r="I374" s="276">
        <f>I373-H373</f>
        <v>-550358.32999999996</v>
      </c>
    </row>
    <row r="375" spans="1:10" s="19" customFormat="1" ht="17.149999999999999" customHeight="1" x14ac:dyDescent="0.7">
      <c r="A375" s="7"/>
      <c r="B375" s="26"/>
      <c r="C375" s="6"/>
      <c r="D375" s="220"/>
      <c r="E375" s="220"/>
      <c r="F375" s="220"/>
      <c r="G375" s="220"/>
      <c r="H375" s="220"/>
      <c r="I375" s="220"/>
      <c r="J375" s="4"/>
    </row>
    <row r="376" spans="1:10" s="19" customFormat="1" ht="17.149999999999999" customHeight="1" x14ac:dyDescent="0.7">
      <c r="A376" s="7"/>
      <c r="B376" s="26" t="s">
        <v>197</v>
      </c>
      <c r="C376" s="6"/>
      <c r="D376" s="220"/>
      <c r="E376" s="220">
        <f>Data!C103+Data!C114</f>
        <v>113879.76</v>
      </c>
      <c r="F376" s="220"/>
      <c r="G376" s="220">
        <f>Data!D103+Data!D114</f>
        <v>8438.98</v>
      </c>
      <c r="H376" s="220"/>
      <c r="I376" s="220">
        <f>Data!E103+Data!E114</f>
        <v>2965.05</v>
      </c>
      <c r="J376" s="4"/>
    </row>
    <row r="377" spans="1:10" s="46" customFormat="1" ht="15.75" x14ac:dyDescent="0.7">
      <c r="A377" s="9"/>
      <c r="B377" s="275" t="s">
        <v>199</v>
      </c>
      <c r="C377" s="9"/>
      <c r="D377" s="276"/>
      <c r="E377" s="276">
        <f>E376-E374</f>
        <v>2345607.3299999996</v>
      </c>
      <c r="F377" s="276"/>
      <c r="G377" s="276">
        <f>G376-G374</f>
        <v>864331.39999999991</v>
      </c>
      <c r="H377" s="276"/>
      <c r="I377" s="276">
        <f>I376-I374</f>
        <v>553323.38</v>
      </c>
    </row>
    <row r="378" spans="1:10" s="19" customFormat="1" ht="17.149999999999999" customHeight="1" thickBot="1" x14ac:dyDescent="0.85">
      <c r="A378" s="7"/>
      <c r="B378" s="26"/>
      <c r="C378" s="6"/>
      <c r="D378" s="220"/>
      <c r="E378" s="220"/>
      <c r="F378" s="220"/>
      <c r="G378" s="220"/>
      <c r="H378" s="220"/>
      <c r="I378" s="220"/>
      <c r="J378" s="4"/>
    </row>
    <row r="379" spans="1:10" s="4" customFormat="1" ht="17.149999999999999" customHeight="1" thickBot="1" x14ac:dyDescent="0.75">
      <c r="B379" s="499" t="s">
        <v>60</v>
      </c>
      <c r="C379" s="500"/>
      <c r="D379" s="500"/>
      <c r="E379" s="500"/>
      <c r="F379" s="500"/>
      <c r="G379" s="500"/>
      <c r="H379" s="500"/>
      <c r="I379" s="501"/>
    </row>
    <row r="380" spans="1:10" s="4" customFormat="1" ht="53.25" customHeight="1" x14ac:dyDescent="0.55000000000000004">
      <c r="B380" s="496" t="s">
        <v>366</v>
      </c>
      <c r="C380" s="497"/>
      <c r="D380" s="497"/>
      <c r="E380" s="497"/>
      <c r="F380" s="497"/>
      <c r="G380" s="497"/>
      <c r="H380" s="497"/>
      <c r="I380" s="498"/>
    </row>
    <row r="381" spans="1:10" s="4" customFormat="1" ht="17.149999999999999" customHeight="1" x14ac:dyDescent="0.7">
      <c r="B381" s="9"/>
      <c r="E381" s="209"/>
      <c r="F381" s="209"/>
      <c r="G381" s="5"/>
      <c r="H381" s="5"/>
      <c r="I381" s="5"/>
      <c r="J381" s="2"/>
    </row>
    <row r="382" spans="1:10" s="53" customFormat="1" ht="19.5" customHeight="1" x14ac:dyDescent="0.6">
      <c r="A382" s="49" t="s">
        <v>90</v>
      </c>
      <c r="B382" s="50"/>
      <c r="C382" s="50"/>
      <c r="D382" s="51"/>
      <c r="E382" s="51"/>
      <c r="F382" s="52"/>
      <c r="G382" s="50"/>
      <c r="H382" s="50"/>
      <c r="I382" s="50"/>
      <c r="J382" s="50"/>
    </row>
    <row r="383" spans="1:10" s="53" customFormat="1" ht="8.25" customHeight="1" x14ac:dyDescent="0.6">
      <c r="A383" s="59"/>
      <c r="D383" s="101"/>
      <c r="E383" s="101"/>
      <c r="F383" s="102"/>
    </row>
    <row r="384" spans="1:10" s="53" customFormat="1" ht="19.5" customHeight="1" x14ac:dyDescent="0.6">
      <c r="A384" s="59"/>
      <c r="D384" s="277" t="str">
        <f>D360</f>
        <v>2022-23</v>
      </c>
      <c r="E384" s="277" t="str">
        <f>F360</f>
        <v>2023-24</v>
      </c>
      <c r="F384" s="277"/>
      <c r="H384" s="277"/>
      <c r="J384" s="277"/>
    </row>
    <row r="385" spans="1:10" ht="42.5" x14ac:dyDescent="0.7">
      <c r="A385" s="11"/>
      <c r="B385" s="278" t="s">
        <v>91</v>
      </c>
      <c r="C385" s="279">
        <f>Data!C140</f>
        <v>2438391</v>
      </c>
      <c r="D385" s="268" t="s">
        <v>92</v>
      </c>
      <c r="E385" s="268" t="s">
        <v>92</v>
      </c>
      <c r="F385" s="23"/>
      <c r="G385" s="1"/>
      <c r="H385" s="268"/>
      <c r="I385" s="1"/>
      <c r="J385" s="23"/>
    </row>
    <row r="386" spans="1:10" ht="17.149999999999999" customHeight="1" x14ac:dyDescent="0.7">
      <c r="A386" s="11"/>
      <c r="B386" s="280"/>
      <c r="C386" s="280" t="s">
        <v>93</v>
      </c>
      <c r="D386" s="281">
        <f>Data!C141</f>
        <v>2467125.3400000003</v>
      </c>
      <c r="E386" s="281">
        <f>Data!D141</f>
        <v>3099472.7408333304</v>
      </c>
      <c r="F386" s="282"/>
      <c r="G386" s="1"/>
      <c r="H386" s="11"/>
      <c r="I386" s="1"/>
      <c r="J386" s="282"/>
    </row>
    <row r="387" spans="1:10" ht="17.149999999999999" customHeight="1" x14ac:dyDescent="0.7">
      <c r="A387" s="11"/>
      <c r="B387" s="23"/>
      <c r="C387" s="23" t="s">
        <v>94</v>
      </c>
      <c r="D387" s="281">
        <f>Data!C142</f>
        <v>3456638.16</v>
      </c>
      <c r="E387" s="281">
        <f>Data!D142</f>
        <v>3224959.3066666629</v>
      </c>
      <c r="F387" s="282"/>
      <c r="G387" s="1"/>
      <c r="H387" s="11"/>
      <c r="I387" s="1"/>
      <c r="J387" s="282"/>
    </row>
    <row r="388" spans="1:10" ht="17.149999999999999" customHeight="1" x14ac:dyDescent="0.7">
      <c r="A388" s="11"/>
      <c r="B388" s="23"/>
      <c r="C388" s="23" t="s">
        <v>95</v>
      </c>
      <c r="D388" s="281">
        <f>Data!C143</f>
        <v>2001799.3900000006</v>
      </c>
      <c r="E388" s="281">
        <f>Data!D143</f>
        <v>3350445.8724999954</v>
      </c>
      <c r="F388" s="282"/>
      <c r="G388" s="1"/>
      <c r="H388" s="11"/>
      <c r="I388" s="1"/>
      <c r="J388" s="282"/>
    </row>
    <row r="389" spans="1:10" ht="17.149999999999999" customHeight="1" x14ac:dyDescent="0.7">
      <c r="A389" s="11"/>
      <c r="B389" s="23"/>
      <c r="C389" s="23" t="s">
        <v>96</v>
      </c>
      <c r="D389" s="281">
        <f>Data!C144</f>
        <v>2880230.3800000008</v>
      </c>
      <c r="E389" s="281">
        <f>Data!D144</f>
        <v>3475932.4383333279</v>
      </c>
      <c r="F389" s="282"/>
      <c r="G389" s="1"/>
      <c r="H389" s="11"/>
      <c r="I389" s="1"/>
      <c r="J389" s="282"/>
    </row>
    <row r="390" spans="1:10" ht="17.149999999999999" customHeight="1" x14ac:dyDescent="0.7">
      <c r="A390" s="11"/>
      <c r="B390" s="23"/>
      <c r="C390" s="23" t="s">
        <v>97</v>
      </c>
      <c r="D390" s="281">
        <f>Data!C145</f>
        <v>3286147.9600000004</v>
      </c>
      <c r="E390" s="281">
        <f>Data!D145</f>
        <v>3601419.0041666604</v>
      </c>
      <c r="F390" s="282"/>
      <c r="G390" s="1"/>
      <c r="H390" s="11"/>
      <c r="I390" s="1"/>
      <c r="J390" s="282"/>
    </row>
    <row r="391" spans="1:10" ht="17.149999999999999" customHeight="1" x14ac:dyDescent="0.7">
      <c r="A391" s="11"/>
      <c r="B391" s="23"/>
      <c r="C391" s="23" t="s">
        <v>98</v>
      </c>
      <c r="D391" s="281">
        <f>Data!C146</f>
        <v>3549975.4</v>
      </c>
      <c r="E391" s="281">
        <f>Data!D146</f>
        <v>3726905.5699999928</v>
      </c>
      <c r="F391" s="282"/>
      <c r="G391" s="1"/>
      <c r="H391" s="11"/>
      <c r="I391" s="1"/>
      <c r="J391" s="282"/>
    </row>
    <row r="392" spans="1:10" ht="17.149999999999999" customHeight="1" x14ac:dyDescent="0.7">
      <c r="A392" s="11"/>
      <c r="B392" s="23"/>
      <c r="C392" s="23" t="s">
        <v>99</v>
      </c>
      <c r="D392" s="281">
        <f>Data!C147</f>
        <v>3247877.8699999992</v>
      </c>
      <c r="E392" s="281">
        <f>Data!D147</f>
        <v>3852392.1358333253</v>
      </c>
      <c r="F392" s="282"/>
      <c r="G392" s="1"/>
      <c r="H392" s="11"/>
      <c r="I392" s="1"/>
      <c r="J392" s="282"/>
    </row>
    <row r="393" spans="1:10" ht="17.149999999999999" customHeight="1" x14ac:dyDescent="0.7">
      <c r="A393" s="11"/>
      <c r="B393" s="23"/>
      <c r="C393" s="23" t="s">
        <v>100</v>
      </c>
      <c r="D393" s="281">
        <f>Data!C148</f>
        <v>3341207.3099999987</v>
      </c>
      <c r="E393" s="281">
        <f>Data!D148</f>
        <v>3977878.7016666578</v>
      </c>
      <c r="F393" s="282"/>
      <c r="G393" s="1"/>
      <c r="H393" s="11"/>
      <c r="I393" s="1"/>
      <c r="J393" s="282"/>
    </row>
    <row r="394" spans="1:10" ht="17.149999999999999" customHeight="1" x14ac:dyDescent="0.7">
      <c r="A394" s="11"/>
      <c r="B394" s="23"/>
      <c r="C394" s="23" t="s">
        <v>101</v>
      </c>
      <c r="D394" s="281">
        <f>Data!C149</f>
        <v>3350151.129999998</v>
      </c>
      <c r="E394" s="281">
        <f>Data!D149</f>
        <v>4103365.2674999903</v>
      </c>
      <c r="F394" s="282"/>
      <c r="G394" s="1"/>
      <c r="H394" s="11"/>
      <c r="I394" s="1"/>
      <c r="J394" s="282"/>
    </row>
    <row r="395" spans="1:10" ht="17.149999999999999" customHeight="1" x14ac:dyDescent="0.7">
      <c r="A395" s="11"/>
      <c r="B395" s="23"/>
      <c r="C395" s="23" t="s">
        <v>102</v>
      </c>
      <c r="D395" s="281">
        <f>Data!C150</f>
        <v>3437659.2499999972</v>
      </c>
      <c r="E395" s="281">
        <f>Data!D150</f>
        <v>4228851.8333333228</v>
      </c>
      <c r="F395" s="282"/>
      <c r="G395" s="1"/>
      <c r="H395" s="11"/>
      <c r="I395" s="1"/>
      <c r="J395" s="282"/>
    </row>
    <row r="396" spans="1:10" ht="17.149999999999999" customHeight="1" x14ac:dyDescent="0.7">
      <c r="A396" s="11"/>
      <c r="B396" s="23"/>
      <c r="C396" s="23" t="s">
        <v>103</v>
      </c>
      <c r="D396" s="281">
        <f>Data!C151</f>
        <v>4679176.4799999977</v>
      </c>
      <c r="E396" s="281">
        <f>Data!D151</f>
        <v>4354338.3991666548</v>
      </c>
      <c r="F396" s="282"/>
      <c r="G396" s="1"/>
      <c r="H396" s="11"/>
      <c r="I396" s="1"/>
      <c r="J396" s="282"/>
    </row>
    <row r="397" spans="1:10" ht="17.149999999999999" customHeight="1" x14ac:dyDescent="0.7">
      <c r="A397" s="11"/>
      <c r="B397" s="23"/>
      <c r="C397" s="23" t="s">
        <v>104</v>
      </c>
      <c r="D397" s="281">
        <f>Data!C152</f>
        <v>3274046.174999998</v>
      </c>
      <c r="E397" s="281">
        <f>Data!D152</f>
        <v>5401131.9649999868</v>
      </c>
      <c r="F397" s="282"/>
      <c r="G397" s="1"/>
      <c r="H397" s="11"/>
      <c r="I397" s="1"/>
      <c r="J397" s="282"/>
    </row>
    <row r="398" spans="1:10" ht="17.149999999999999" customHeight="1" x14ac:dyDescent="0.7">
      <c r="A398" s="11"/>
      <c r="B398" s="11"/>
      <c r="C398" s="11"/>
      <c r="D398" s="11"/>
      <c r="E398" s="11"/>
      <c r="F398" s="11"/>
      <c r="G398" s="11"/>
      <c r="H398" s="23"/>
      <c r="I398" s="11"/>
    </row>
    <row r="399" spans="1:10" ht="7.5" customHeight="1" thickBot="1" x14ac:dyDescent="0.85">
      <c r="A399" s="11"/>
      <c r="B399" s="11"/>
      <c r="C399" s="11"/>
      <c r="D399" s="11"/>
      <c r="E399" s="11"/>
      <c r="F399" s="11"/>
      <c r="G399" s="11"/>
      <c r="H399" s="23"/>
      <c r="I399" s="11"/>
    </row>
    <row r="400" spans="1:10" ht="16.5" customHeight="1" thickBot="1" x14ac:dyDescent="0.85">
      <c r="A400" s="11"/>
      <c r="B400" s="448" t="s">
        <v>256</v>
      </c>
      <c r="C400" s="449"/>
      <c r="D400" s="449"/>
      <c r="E400" s="449"/>
      <c r="F400" s="449"/>
      <c r="G400" s="449"/>
      <c r="H400" s="449"/>
      <c r="I400" s="450"/>
    </row>
    <row r="401" spans="1:10" ht="52.5" customHeight="1" x14ac:dyDescent="0.7">
      <c r="A401" s="11"/>
      <c r="B401" s="493"/>
      <c r="C401" s="494"/>
      <c r="D401" s="494"/>
      <c r="E401" s="494"/>
      <c r="F401" s="494"/>
      <c r="G401" s="494"/>
      <c r="H401" s="494"/>
      <c r="I401" s="495"/>
    </row>
    <row r="402" spans="1:10" ht="17.149999999999999" customHeight="1" thickBot="1" x14ac:dyDescent="0.85">
      <c r="A402" s="11"/>
      <c r="B402" s="11"/>
      <c r="C402" s="11"/>
      <c r="D402" s="11"/>
      <c r="E402" s="11"/>
      <c r="F402" s="11"/>
      <c r="G402" s="11"/>
      <c r="H402" s="23"/>
      <c r="I402" s="11"/>
    </row>
    <row r="403" spans="1:10" ht="17.149999999999999" customHeight="1" thickBot="1" x14ac:dyDescent="0.85">
      <c r="A403" s="505" t="s">
        <v>217</v>
      </c>
      <c r="B403" s="506"/>
      <c r="C403" s="506"/>
      <c r="D403" s="506"/>
      <c r="E403" s="506"/>
      <c r="F403" s="506"/>
      <c r="G403" s="506"/>
      <c r="H403" s="506"/>
      <c r="I403" s="507"/>
    </row>
    <row r="404" spans="1:10" ht="17.149999999999999" customHeight="1" x14ac:dyDescent="0.7">
      <c r="A404" s="11"/>
      <c r="B404" s="11"/>
      <c r="C404" s="11"/>
      <c r="D404" s="11"/>
      <c r="E404" s="25"/>
      <c r="F404" s="23"/>
      <c r="G404" s="11"/>
    </row>
    <row r="405" spans="1:10" ht="17.149999999999999" customHeight="1" x14ac:dyDescent="0.7">
      <c r="B405" s="20" t="s">
        <v>200</v>
      </c>
      <c r="C405" s="11"/>
      <c r="D405" s="11"/>
      <c r="E405" s="17" t="s">
        <v>105</v>
      </c>
      <c r="F405" s="23"/>
      <c r="G405" s="11"/>
      <c r="J405" s="4"/>
    </row>
    <row r="406" spans="1:10" s="4" customFormat="1" ht="17.149999999999999" customHeight="1" x14ac:dyDescent="0.6">
      <c r="A406" s="283"/>
      <c r="B406" s="511"/>
      <c r="C406" s="512"/>
      <c r="D406" s="513"/>
      <c r="E406" s="502"/>
      <c r="F406" s="503"/>
      <c r="G406" s="503"/>
      <c r="H406" s="503"/>
      <c r="I406" s="504"/>
    </row>
    <row r="407" spans="1:10" s="4" customFormat="1" ht="17.149999999999999" customHeight="1" x14ac:dyDescent="0.6">
      <c r="A407" s="283"/>
      <c r="B407" s="511"/>
      <c r="C407" s="512"/>
      <c r="D407" s="513"/>
      <c r="E407" s="502"/>
      <c r="F407" s="503"/>
      <c r="G407" s="503"/>
      <c r="H407" s="503"/>
      <c r="I407" s="504"/>
    </row>
    <row r="408" spans="1:10" s="4" customFormat="1" ht="17.149999999999999" customHeight="1" x14ac:dyDescent="0.6">
      <c r="A408" s="283"/>
      <c r="B408" s="511"/>
      <c r="C408" s="512"/>
      <c r="D408" s="513"/>
      <c r="E408" s="502"/>
      <c r="F408" s="503"/>
      <c r="G408" s="503"/>
      <c r="H408" s="503"/>
      <c r="I408" s="504"/>
    </row>
    <row r="409" spans="1:10" s="4" customFormat="1" ht="17.149999999999999" customHeight="1" x14ac:dyDescent="0.6">
      <c r="A409" s="283"/>
      <c r="B409" s="511"/>
      <c r="C409" s="512"/>
      <c r="D409" s="513"/>
      <c r="E409" s="502"/>
      <c r="F409" s="503"/>
      <c r="G409" s="503"/>
      <c r="H409" s="503"/>
      <c r="I409" s="504"/>
    </row>
    <row r="410" spans="1:10" s="4" customFormat="1" ht="17.149999999999999" customHeight="1" x14ac:dyDescent="0.6">
      <c r="A410" s="283"/>
      <c r="B410" s="511"/>
      <c r="C410" s="512"/>
      <c r="D410" s="513"/>
      <c r="E410" s="502"/>
      <c r="F410" s="503"/>
      <c r="G410" s="503"/>
      <c r="H410" s="503"/>
      <c r="I410" s="504"/>
    </row>
    <row r="411" spans="1:10" s="4" customFormat="1" ht="17.149999999999999" customHeight="1" x14ac:dyDescent="0.6">
      <c r="A411" s="283"/>
      <c r="B411" s="511"/>
      <c r="C411" s="512"/>
      <c r="D411" s="513"/>
      <c r="E411" s="502"/>
      <c r="F411" s="503"/>
      <c r="G411" s="503"/>
      <c r="H411" s="503"/>
      <c r="I411" s="504"/>
    </row>
    <row r="412" spans="1:10" s="4" customFormat="1" ht="17.149999999999999" customHeight="1" x14ac:dyDescent="0.6">
      <c r="A412" s="17"/>
      <c r="B412" s="25"/>
      <c r="C412" s="11"/>
      <c r="D412" s="11"/>
      <c r="E412" s="284"/>
      <c r="F412" s="284"/>
      <c r="G412" s="11"/>
      <c r="H412" s="8"/>
      <c r="I412" s="5"/>
    </row>
    <row r="413" spans="1:10" s="4" customFormat="1" ht="17.149999999999999" customHeight="1" x14ac:dyDescent="0.6">
      <c r="B413" s="20" t="s">
        <v>106</v>
      </c>
      <c r="C413" s="11"/>
      <c r="D413" s="11"/>
      <c r="E413" s="11"/>
      <c r="F413" s="183"/>
      <c r="G413" s="11"/>
      <c r="H413" s="5"/>
      <c r="I413" s="5"/>
    </row>
    <row r="414" spans="1:10" s="4" customFormat="1" ht="17.149999999999999" customHeight="1" x14ac:dyDescent="0.55000000000000004">
      <c r="B414" s="488"/>
      <c r="C414" s="489"/>
      <c r="D414" s="489"/>
      <c r="E414" s="489"/>
      <c r="F414" s="489"/>
      <c r="G414" s="489"/>
      <c r="H414" s="489"/>
      <c r="I414" s="490"/>
    </row>
    <row r="415" spans="1:10" s="4" customFormat="1" ht="17.149999999999999" customHeight="1" x14ac:dyDescent="0.55000000000000004">
      <c r="B415" s="488"/>
      <c r="C415" s="489"/>
      <c r="D415" s="489"/>
      <c r="E415" s="489"/>
      <c r="F415" s="489"/>
      <c r="G415" s="489"/>
      <c r="H415" s="489"/>
      <c r="I415" s="490"/>
    </row>
    <row r="416" spans="1:10" s="4" customFormat="1" ht="17.149999999999999" customHeight="1" x14ac:dyDescent="0.55000000000000004">
      <c r="B416" s="488"/>
      <c r="C416" s="489"/>
      <c r="D416" s="489"/>
      <c r="E416" s="489"/>
      <c r="F416" s="489"/>
      <c r="G416" s="489"/>
      <c r="H416" s="489"/>
      <c r="I416" s="490"/>
    </row>
    <row r="417" spans="1:10" s="4" customFormat="1" ht="17.149999999999999" customHeight="1" x14ac:dyDescent="0.55000000000000004">
      <c r="B417" s="488"/>
      <c r="C417" s="489"/>
      <c r="D417" s="489"/>
      <c r="E417" s="489"/>
      <c r="F417" s="489"/>
      <c r="G417" s="489"/>
      <c r="H417" s="489"/>
      <c r="I417" s="490"/>
    </row>
    <row r="418" spans="1:10" s="4" customFormat="1" ht="17.149999999999999" customHeight="1" x14ac:dyDescent="0.55000000000000004">
      <c r="B418" s="488"/>
      <c r="C418" s="489"/>
      <c r="D418" s="489"/>
      <c r="E418" s="489"/>
      <c r="F418" s="489"/>
      <c r="G418" s="489"/>
      <c r="H418" s="489"/>
      <c r="I418" s="490"/>
    </row>
    <row r="419" spans="1:10" s="4" customFormat="1" ht="17.149999999999999" customHeight="1" x14ac:dyDescent="0.55000000000000004">
      <c r="B419" s="488"/>
      <c r="C419" s="489"/>
      <c r="D419" s="489"/>
      <c r="E419" s="489"/>
      <c r="F419" s="489"/>
      <c r="G419" s="489"/>
      <c r="H419" s="489"/>
      <c r="I419" s="490"/>
    </row>
    <row r="420" spans="1:10" s="4" customFormat="1" ht="17.149999999999999" customHeight="1" x14ac:dyDescent="0.55000000000000004">
      <c r="B420" s="488"/>
      <c r="C420" s="489"/>
      <c r="D420" s="489"/>
      <c r="E420" s="489"/>
      <c r="F420" s="489"/>
      <c r="G420" s="489"/>
      <c r="H420" s="489"/>
      <c r="I420" s="490"/>
    </row>
    <row r="421" spans="1:10" s="4" customFormat="1" ht="17.149999999999999" customHeight="1" x14ac:dyDescent="0.7">
      <c r="A421" s="146"/>
      <c r="C421" s="146"/>
      <c r="E421" s="146"/>
      <c r="H421" s="5"/>
      <c r="I421" s="5"/>
      <c r="J421" s="1"/>
    </row>
    <row r="422" spans="1:10" ht="17.149999999999999" customHeight="1" x14ac:dyDescent="0.7">
      <c r="A422" s="1">
        <v>9</v>
      </c>
    </row>
  </sheetData>
  <sheetProtection algorithmName="SHA-512" hashValue="BAktvQREb1aS9QRK96EZmWOKUpCgNV8Wy4QKQT1Nu10OWlzLXwJmac6cEBkJKvnc0hAx2x04n5fcbjSg8h6+4g==" saltValue="/RaUib6fgzyYENrCNOvCag==" spinCount="100000" sheet="1" objects="1" scenarios="1"/>
  <mergeCells count="158">
    <mergeCell ref="F299:G299"/>
    <mergeCell ref="B155:D155"/>
    <mergeCell ref="D31:G31"/>
    <mergeCell ref="D30:G30"/>
    <mergeCell ref="H94:J94"/>
    <mergeCell ref="H234:I242"/>
    <mergeCell ref="H233:I233"/>
    <mergeCell ref="C199:H199"/>
    <mergeCell ref="D282:E282"/>
    <mergeCell ref="F282:G282"/>
    <mergeCell ref="H282:I282"/>
    <mergeCell ref="D33:G33"/>
    <mergeCell ref="D32:G32"/>
    <mergeCell ref="G81:I84"/>
    <mergeCell ref="G86:I86"/>
    <mergeCell ref="B162:J163"/>
    <mergeCell ref="C184:F184"/>
    <mergeCell ref="E146:F146"/>
    <mergeCell ref="G146:H146"/>
    <mergeCell ref="B179:F179"/>
    <mergeCell ref="B142:J142"/>
    <mergeCell ref="D101:J101"/>
    <mergeCell ref="C249:F249"/>
    <mergeCell ref="C250:F250"/>
    <mergeCell ref="H256:I256"/>
    <mergeCell ref="C260:I260"/>
    <mergeCell ref="F257:G257"/>
    <mergeCell ref="H257:I257"/>
    <mergeCell ref="B56:J56"/>
    <mergeCell ref="B42:I42"/>
    <mergeCell ref="B94:F95"/>
    <mergeCell ref="H221:I221"/>
    <mergeCell ref="H222:I230"/>
    <mergeCell ref="C195:I195"/>
    <mergeCell ref="B152:D152"/>
    <mergeCell ref="C213:I213"/>
    <mergeCell ref="C217:H218"/>
    <mergeCell ref="C172:E172"/>
    <mergeCell ref="C169:E169"/>
    <mergeCell ref="B149:D149"/>
    <mergeCell ref="B141:J141"/>
    <mergeCell ref="B98:D98"/>
    <mergeCell ref="C212:I212"/>
    <mergeCell ref="A2:J2"/>
    <mergeCell ref="G27:J27"/>
    <mergeCell ref="C25:F25"/>
    <mergeCell ref="D4:G4"/>
    <mergeCell ref="C194:I194"/>
    <mergeCell ref="G21:J21"/>
    <mergeCell ref="G22:J22"/>
    <mergeCell ref="G23:J23"/>
    <mergeCell ref="G24:J24"/>
    <mergeCell ref="G25:J25"/>
    <mergeCell ref="G26:J26"/>
    <mergeCell ref="C21:F21"/>
    <mergeCell ref="C27:F27"/>
    <mergeCell ref="C17:H17"/>
    <mergeCell ref="C181:I181"/>
    <mergeCell ref="C182:I182"/>
    <mergeCell ref="C186:I186"/>
    <mergeCell ref="C185:I185"/>
    <mergeCell ref="D5:G5"/>
    <mergeCell ref="D180:F180"/>
    <mergeCell ref="B178:F178"/>
    <mergeCell ref="C24:F24"/>
    <mergeCell ref="B151:D151"/>
    <mergeCell ref="B161:J161"/>
    <mergeCell ref="C22:F22"/>
    <mergeCell ref="C23:F23"/>
    <mergeCell ref="D9:E9"/>
    <mergeCell ref="B173:E173"/>
    <mergeCell ref="G99:J99"/>
    <mergeCell ref="D116:H116"/>
    <mergeCell ref="G74:I77"/>
    <mergeCell ref="G79:I79"/>
    <mergeCell ref="G72:I72"/>
    <mergeCell ref="C171:E171"/>
    <mergeCell ref="H64:I64"/>
    <mergeCell ref="H65:I69"/>
    <mergeCell ref="D34:G34"/>
    <mergeCell ref="C53:D53"/>
    <mergeCell ref="G88:I91"/>
    <mergeCell ref="D131:H131"/>
    <mergeCell ref="B114:J114"/>
    <mergeCell ref="B113:J113"/>
    <mergeCell ref="B128:J128"/>
    <mergeCell ref="B129:J129"/>
    <mergeCell ref="B150:D150"/>
    <mergeCell ref="C18:H18"/>
    <mergeCell ref="B55:J55"/>
    <mergeCell ref="C26:F26"/>
    <mergeCell ref="D6:G6"/>
    <mergeCell ref="E411:I411"/>
    <mergeCell ref="B400:I400"/>
    <mergeCell ref="B410:D410"/>
    <mergeCell ref="B409:D409"/>
    <mergeCell ref="B408:D408"/>
    <mergeCell ref="B407:D407"/>
    <mergeCell ref="B406:D406"/>
    <mergeCell ref="B411:D411"/>
    <mergeCell ref="I146:J146"/>
    <mergeCell ref="B148:D148"/>
    <mergeCell ref="D257:E257"/>
    <mergeCell ref="H252:I252"/>
    <mergeCell ref="F252:G252"/>
    <mergeCell ref="D252:E252"/>
    <mergeCell ref="D256:E256"/>
    <mergeCell ref="I217:I218"/>
    <mergeCell ref="C202:G202"/>
    <mergeCell ref="D276:E276"/>
    <mergeCell ref="F276:G276"/>
    <mergeCell ref="H276:I276"/>
    <mergeCell ref="D293:E293"/>
    <mergeCell ref="F256:G256"/>
    <mergeCell ref="C248:F248"/>
    <mergeCell ref="B415:I415"/>
    <mergeCell ref="B416:I416"/>
    <mergeCell ref="B417:I417"/>
    <mergeCell ref="B418:I418"/>
    <mergeCell ref="B419:I419"/>
    <mergeCell ref="B420:I420"/>
    <mergeCell ref="D360:E360"/>
    <mergeCell ref="F360:G360"/>
    <mergeCell ref="H360:I360"/>
    <mergeCell ref="B414:I414"/>
    <mergeCell ref="B401:I401"/>
    <mergeCell ref="B380:I380"/>
    <mergeCell ref="B379:I379"/>
    <mergeCell ref="E410:I410"/>
    <mergeCell ref="E409:I409"/>
    <mergeCell ref="E408:I408"/>
    <mergeCell ref="E407:I407"/>
    <mergeCell ref="E406:I406"/>
    <mergeCell ref="A403:I403"/>
    <mergeCell ref="B354:I354"/>
    <mergeCell ref="F293:G293"/>
    <mergeCell ref="C264:J265"/>
    <mergeCell ref="D266:E266"/>
    <mergeCell ref="F266:G266"/>
    <mergeCell ref="H266:I266"/>
    <mergeCell ref="C259:I259"/>
    <mergeCell ref="B353:I353"/>
    <mergeCell ref="C331:D331"/>
    <mergeCell ref="C332:D332"/>
    <mergeCell ref="C333:D333"/>
    <mergeCell ref="C325:H325"/>
    <mergeCell ref="C328:D328"/>
    <mergeCell ref="C327:D327"/>
    <mergeCell ref="C326:D326"/>
    <mergeCell ref="B309:I309"/>
    <mergeCell ref="B310:I310"/>
    <mergeCell ref="G319:J319"/>
    <mergeCell ref="H336:J336"/>
    <mergeCell ref="H337:J343"/>
    <mergeCell ref="C343:D343"/>
    <mergeCell ref="H299:I299"/>
    <mergeCell ref="G320:J324"/>
    <mergeCell ref="D299:E299"/>
  </mergeCells>
  <phoneticPr fontId="0" type="noConversion"/>
  <conditionalFormatting sqref="I119">
    <cfRule type="containsText" dxfId="93" priority="196" stopIfTrue="1" operator="containsText" text="YES">
      <formula>NOT(ISERROR(SEARCH("YES",I119)))</formula>
    </cfRule>
  </conditionalFormatting>
  <conditionalFormatting sqref="I121">
    <cfRule type="containsText" dxfId="92" priority="195" stopIfTrue="1" operator="containsText" text="YES">
      <formula>NOT(ISERROR(SEARCH("YES",I121)))</formula>
    </cfRule>
  </conditionalFormatting>
  <conditionalFormatting sqref="I122:I127 I130">
    <cfRule type="containsText" dxfId="91" priority="194" stopIfTrue="1" operator="containsText" text="YES">
      <formula>NOT(ISERROR(SEARCH("YES",I122)))</formula>
    </cfRule>
  </conditionalFormatting>
  <conditionalFormatting sqref="E75:F75 E82:F82 E89:F89 G160:I160">
    <cfRule type="containsText" dxfId="90" priority="191" stopIfTrue="1" operator="containsText" text="Not Met">
      <formula>NOT(ISERROR(SEARCH("Not Met",E75)))</formula>
    </cfRule>
  </conditionalFormatting>
  <conditionalFormatting sqref="I9:I14">
    <cfRule type="containsText" dxfId="89" priority="131" operator="containsText" text="yes">
      <formula>NOT(ISERROR(SEARCH("yes",I9)))</formula>
    </cfRule>
    <cfRule type="containsText" dxfId="88" priority="174" stopIfTrue="1" operator="containsText" text="no">
      <formula>NOT(ISERROR(SEARCH("no",I9)))</formula>
    </cfRule>
  </conditionalFormatting>
  <conditionalFormatting sqref="H98">
    <cfRule type="containsText" dxfId="87" priority="141" operator="containsText" text="No">
      <formula>NOT(ISERROR(SEARCH("No",H98)))</formula>
    </cfRule>
    <cfRule type="containsText" dxfId="86" priority="172" stopIfTrue="1" operator="containsText" text="Yes">
      <formula>NOT(ISERROR(SEARCH("Yes",H98)))</formula>
    </cfRule>
  </conditionalFormatting>
  <conditionalFormatting sqref="I134">
    <cfRule type="containsText" dxfId="85" priority="168" stopIfTrue="1" operator="containsText" text="YES">
      <formula>NOT(ISERROR(SEARCH("YES",I134)))</formula>
    </cfRule>
  </conditionalFormatting>
  <conditionalFormatting sqref="I136">
    <cfRule type="containsText" dxfId="84" priority="167" stopIfTrue="1" operator="containsText" text="YES">
      <formula>NOT(ISERROR(SEARCH("YES",I136)))</formula>
    </cfRule>
  </conditionalFormatting>
  <conditionalFormatting sqref="I137:I139">
    <cfRule type="containsText" dxfId="83" priority="166" stopIfTrue="1" operator="containsText" text="YES">
      <formula>NOT(ISERROR(SEARCH("YES",I137)))</formula>
    </cfRule>
  </conditionalFormatting>
  <conditionalFormatting sqref="E159">
    <cfRule type="containsText" dxfId="82" priority="164" stopIfTrue="1" operator="containsText" text="Not Met">
      <formula>NOT(ISERROR(SEARCH("Not Met",E159)))</formula>
    </cfRule>
  </conditionalFormatting>
  <conditionalFormatting sqref="F59">
    <cfRule type="containsText" dxfId="81" priority="150" operator="containsText" text="Not Equal">
      <formula>NOT(ISERROR(SEARCH("Not Equal",F59)))</formula>
    </cfRule>
    <cfRule type="containsText" dxfId="80" priority="151" operator="containsText" text="Equal">
      <formula>NOT(ISERROR(SEARCH("Equal",F59)))</formula>
    </cfRule>
  </conditionalFormatting>
  <conditionalFormatting sqref="G67">
    <cfRule type="containsText" dxfId="79" priority="149" operator="containsText" text="Exceeds Cap">
      <formula>NOT(ISERROR(SEARCH("Exceeds Cap",G67)))</formula>
    </cfRule>
  </conditionalFormatting>
  <conditionalFormatting sqref="G65:G66">
    <cfRule type="containsText" dxfId="78" priority="148" operator="containsText" text="Exceeds Cap">
      <formula>NOT(ISERROR(SEARCH("Exceeds Cap",G65)))</formula>
    </cfRule>
  </conditionalFormatting>
  <conditionalFormatting sqref="G68:G69">
    <cfRule type="containsText" dxfId="77" priority="147" operator="containsText" text="Exceeds Cap">
      <formula>NOT(ISERROR(SEARCH("Exceeds Cap",G68)))</formula>
    </cfRule>
  </conditionalFormatting>
  <conditionalFormatting sqref="E75:F75">
    <cfRule type="containsText" dxfId="76" priority="146" operator="containsText" text="Meets">
      <formula>NOT(ISERROR(SEARCH("Meets",E75)))</formula>
    </cfRule>
  </conditionalFormatting>
  <conditionalFormatting sqref="E82:F82">
    <cfRule type="containsText" dxfId="75" priority="145" operator="containsText" text="Meets">
      <formula>NOT(ISERROR(SEARCH("Meets",E82)))</formula>
    </cfRule>
  </conditionalFormatting>
  <conditionalFormatting sqref="E89:F89">
    <cfRule type="containsText" dxfId="74" priority="143" operator="containsText" text="Meets">
      <formula>NOT(ISERROR(SEARCH("Meets",E89)))</formula>
    </cfRule>
  </conditionalFormatting>
  <conditionalFormatting sqref="E98">
    <cfRule type="containsText" dxfId="73" priority="140" operator="containsText" text="Yes">
      <formula>NOT(ISERROR(SEARCH("Yes",E98)))</formula>
    </cfRule>
  </conditionalFormatting>
  <conditionalFormatting sqref="I120">
    <cfRule type="containsText" dxfId="72" priority="139" stopIfTrue="1" operator="containsText" text="YES">
      <formula>NOT(ISERROR(SEARCH("YES",I120)))</formula>
    </cfRule>
  </conditionalFormatting>
  <conditionalFormatting sqref="I135">
    <cfRule type="containsText" dxfId="71" priority="138" stopIfTrue="1" operator="containsText" text="YES">
      <formula>NOT(ISERROR(SEARCH("YES",I135)))</formula>
    </cfRule>
  </conditionalFormatting>
  <conditionalFormatting sqref="I159 G159">
    <cfRule type="containsText" dxfId="70" priority="137" stopIfTrue="1" operator="containsText" text="Not Met">
      <formula>NOT(ISERROR(SEARCH("Not Met",G159)))</formula>
    </cfRule>
  </conditionalFormatting>
  <conditionalFormatting sqref="E72 E79 E86">
    <cfRule type="containsText" dxfId="69" priority="129" operator="containsText" text="No">
      <formula>NOT(ISERROR(SEARCH("No",E72)))</formula>
    </cfRule>
    <cfRule type="containsText" dxfId="68" priority="130" operator="containsText" text="Yes">
      <formula>NOT(ISERROR(SEARCH("Yes",E72)))</formula>
    </cfRule>
  </conditionalFormatting>
  <conditionalFormatting sqref="F173:I173">
    <cfRule type="containsText" dxfId="67" priority="128" operator="containsText" text="No">
      <formula>NOT(ISERROR(SEARCH("No",F173)))</formula>
    </cfRule>
  </conditionalFormatting>
  <conditionalFormatting sqref="G184:I184">
    <cfRule type="containsText" dxfId="66" priority="122" operator="containsText" text="No">
      <formula>NOT(ISERROR(SEARCH("No",G184)))</formula>
    </cfRule>
    <cfRule type="containsText" dxfId="65" priority="123" operator="containsText" text="Yes">
      <formula>NOT(ISERROR(SEARCH("Yes",G184)))</formula>
    </cfRule>
  </conditionalFormatting>
  <conditionalFormatting sqref="G178:I178">
    <cfRule type="containsText" dxfId="64" priority="121" operator="containsText" text="No">
      <formula>NOT(ISERROR(SEARCH("No",G178)))</formula>
    </cfRule>
  </conditionalFormatting>
  <conditionalFormatting sqref="G178:I178">
    <cfRule type="containsText" dxfId="63" priority="120" operator="containsText" text="Yes">
      <formula>NOT(ISERROR(SEARCH("Yes",G178)))</formula>
    </cfRule>
  </conditionalFormatting>
  <conditionalFormatting sqref="G179:I179">
    <cfRule type="containsText" dxfId="62" priority="118" operator="containsText" text="Yes">
      <formula>NOT(ISERROR(SEARCH("Yes",G179)))</formula>
    </cfRule>
    <cfRule type="containsText" dxfId="61" priority="119" operator="containsText" text="No">
      <formula>NOT(ISERROR(SEARCH("No",G179)))</formula>
    </cfRule>
  </conditionalFormatting>
  <conditionalFormatting sqref="J50">
    <cfRule type="containsText" dxfId="60" priority="114" operator="containsText" text="Meets">
      <formula>NOT(ISERROR(SEARCH("Meets",J50)))</formula>
    </cfRule>
    <cfRule type="containsText" dxfId="59" priority="115" operator="containsText" text="Not Met">
      <formula>NOT(ISERROR(SEARCH("Not Met",J50)))</formula>
    </cfRule>
  </conditionalFormatting>
  <conditionalFormatting sqref="J51:J52">
    <cfRule type="containsText" dxfId="58" priority="112" operator="containsText" text="Meets">
      <formula>NOT(ISERROR(SEARCH("Meets",J51)))</formula>
    </cfRule>
    <cfRule type="containsText" dxfId="57" priority="113" operator="containsText" text="Not Met">
      <formula>NOT(ISERROR(SEARCH("Not Met",J51)))</formula>
    </cfRule>
  </conditionalFormatting>
  <conditionalFormatting sqref="E374">
    <cfRule type="expression" dxfId="56" priority="86">
      <formula>$E$374&lt;&gt;0</formula>
    </cfRule>
    <cfRule type="expression" dxfId="55" priority="87">
      <formula>$E$374=0</formula>
    </cfRule>
  </conditionalFormatting>
  <conditionalFormatting sqref="G374">
    <cfRule type="expression" dxfId="54" priority="81">
      <formula>$G$374&lt;&gt;0</formula>
    </cfRule>
    <cfRule type="expression" dxfId="53" priority="82">
      <formula>$G$374=0</formula>
    </cfRule>
  </conditionalFormatting>
  <conditionalFormatting sqref="I374">
    <cfRule type="expression" dxfId="52" priority="79">
      <formula>$I$374&lt;&gt;0</formula>
    </cfRule>
    <cfRule type="expression" dxfId="51" priority="80">
      <formula>$I$374=0</formula>
    </cfRule>
  </conditionalFormatting>
  <conditionalFormatting sqref="E377">
    <cfRule type="expression" dxfId="50" priority="74">
      <formula>$E$377&gt;-0.9999999999999</formula>
    </cfRule>
    <cfRule type="expression" dxfId="49" priority="76">
      <formula>$E$377&lt;0</formula>
    </cfRule>
  </conditionalFormatting>
  <conditionalFormatting sqref="I377">
    <cfRule type="expression" dxfId="48" priority="72">
      <formula>$I$377&gt;-0.99999999999</formula>
    </cfRule>
    <cfRule type="expression" dxfId="47" priority="73">
      <formula>$I$377&lt;0</formula>
    </cfRule>
  </conditionalFormatting>
  <conditionalFormatting sqref="G377">
    <cfRule type="expression" dxfId="46" priority="70">
      <formula>$G$377&gt;-0.999999999999</formula>
    </cfRule>
    <cfRule type="expression" dxfId="45" priority="71">
      <formula>$G$377&lt;0</formula>
    </cfRule>
  </conditionalFormatting>
  <conditionalFormatting sqref="E374 G374 I374 E377 G377 I377">
    <cfRule type="expression" priority="64" stopIfTrue="1">
      <formula>$I$358="No"</formula>
    </cfRule>
  </conditionalFormatting>
  <conditionalFormatting sqref="B126">
    <cfRule type="containsText" dxfId="44" priority="56" operator="containsText" text="not">
      <formula>NOT(ISERROR(SEARCH("not",B126)))</formula>
    </cfRule>
  </conditionalFormatting>
  <conditionalFormatting sqref="B111">
    <cfRule type="containsText" dxfId="43" priority="52" operator="containsText" text="not">
      <formula>NOT(ISERROR(SEARCH("not",B111)))</formula>
    </cfRule>
  </conditionalFormatting>
  <conditionalFormatting sqref="G106 D107">
    <cfRule type="expression" dxfId="42" priority="50">
      <formula>_xlfn.SINGLE(ROUND($C$107+$D$107,0))&lt;&gt;_xlfn.SINGLE(ROUND($G$106,0))</formula>
    </cfRule>
  </conditionalFormatting>
  <conditionalFormatting sqref="G105 D106">
    <cfRule type="expression" dxfId="41" priority="49">
      <formula>_xlfn.SINGLE(ROUND($D$106,0))&lt;&gt;_xlfn.SINGLE(ROUND($G$105,0))</formula>
    </cfRule>
  </conditionalFormatting>
  <conditionalFormatting sqref="G104 D105">
    <cfRule type="expression" dxfId="40" priority="51">
      <formula>_xlfn.SINGLE(ROUND($D$105,0))&lt;&gt;_xlfn.SINGLE(ROUND($G$104,0))</formula>
    </cfRule>
  </conditionalFormatting>
  <conditionalFormatting sqref="D122 G121">
    <cfRule type="expression" dxfId="39" priority="47">
      <formula>_xlfn.SINGLE(ROUND($D$122+$C$122,0))&lt;&gt;_xlfn.SINGLE(ROUND($G$121,0))</formula>
    </cfRule>
  </conditionalFormatting>
  <conditionalFormatting sqref="D121 G120">
    <cfRule type="expression" dxfId="38" priority="46">
      <formula>_xlfn.SINGLE(ROUND($D$121,0))&lt;&gt;_xlfn.SINGLE(ROUND($G$120,0))</formula>
    </cfRule>
  </conditionalFormatting>
  <conditionalFormatting sqref="D120 G119">
    <cfRule type="expression" dxfId="37" priority="48">
      <formula>_xlfn.SINGLE(ROUND($D$120,0))&lt;&gt;_xlfn.SINGLE(ROUND($G$119,0))</formula>
    </cfRule>
  </conditionalFormatting>
  <conditionalFormatting sqref="G136">
    <cfRule type="expression" dxfId="36" priority="44">
      <formula>_xlfn.SINGLE(ROUND($C$137+$D$137,0))&lt;&gt;_xlfn.SINGLE(ROUND($G$136,0))</formula>
    </cfRule>
  </conditionalFormatting>
  <conditionalFormatting sqref="G136 D137">
    <cfRule type="expression" dxfId="35" priority="43">
      <formula>_xlfn.SINGLE(ROUND($D$137+$C$137,0))&lt;&gt;_xlfn.SINGLE(ROUND($G$137,0))</formula>
    </cfRule>
  </conditionalFormatting>
  <conditionalFormatting sqref="D135 G134">
    <cfRule type="expression" dxfId="34" priority="42">
      <formula>_xlfn.SINGLE(ROUND($D$135,0))&lt;&gt;_xlfn.SINGLE(ROUND($G$134,0))</formula>
    </cfRule>
  </conditionalFormatting>
  <conditionalFormatting sqref="D136 G135">
    <cfRule type="expression" dxfId="33" priority="45">
      <formula>_xlfn.SINGLE(ROUND($D$136,0))&lt;&gt;_xlfn.SINGLE(ROUND($G$135,0))</formula>
    </cfRule>
  </conditionalFormatting>
  <conditionalFormatting sqref="E150">
    <cfRule type="expression" dxfId="32" priority="41">
      <formula>_xlfn.SINGLE(ROUND($C$107+$D$107,0))&lt;&gt;_xlfn.SINGLE(ROUND($G$106,0))</formula>
    </cfRule>
  </conditionalFormatting>
  <conditionalFormatting sqref="F150">
    <cfRule type="expression" dxfId="31" priority="40">
      <formula>_xlfn.SINGLE(ROUND($D$122+$C$122,0))&lt;&gt;_xlfn.SINGLE(ROUND($G$121,0))</formula>
    </cfRule>
  </conditionalFormatting>
  <conditionalFormatting sqref="E191">
    <cfRule type="expression" dxfId="30" priority="38">
      <formula>$E$189&lt;&gt;$E$190</formula>
    </cfRule>
  </conditionalFormatting>
  <conditionalFormatting sqref="F191">
    <cfRule type="expression" dxfId="29" priority="37">
      <formula>$F$189&lt;&gt;$F$190</formula>
    </cfRule>
  </conditionalFormatting>
  <conditionalFormatting sqref="G191">
    <cfRule type="expression" dxfId="28" priority="39">
      <formula>$G$189&lt;&gt;$G$190</formula>
    </cfRule>
  </conditionalFormatting>
  <conditionalFormatting sqref="F320">
    <cfRule type="expression" dxfId="27" priority="25">
      <formula>$F$320&lt;0</formula>
    </cfRule>
  </conditionalFormatting>
  <conditionalFormatting sqref="F321">
    <cfRule type="expression" dxfId="26" priority="24">
      <formula>$F$321&lt;0</formula>
    </cfRule>
  </conditionalFormatting>
  <conditionalFormatting sqref="F322">
    <cfRule type="expression" dxfId="25" priority="26">
      <formula>$F$322&lt;0</formula>
    </cfRule>
  </conditionalFormatting>
  <conditionalFormatting sqref="F343">
    <cfRule type="containsText" dxfId="24" priority="23" operator="containsText" text="Insufficient History">
      <formula>NOT(ISERROR(SEARCH("Insufficient History",F343)))</formula>
    </cfRule>
  </conditionalFormatting>
  <conditionalFormatting sqref="E329:G329 E334:G334">
    <cfRule type="containsText" dxfId="23" priority="27" operator="containsText" text="stated">
      <formula>NOT(ISERROR(SEARCH("stated",E329)))</formula>
    </cfRule>
    <cfRule type="containsText" dxfId="22" priority="28" operator="containsText" text="Agrees">
      <formula>NOT(ISERROR(SEARCH("Agrees",E329)))</formula>
    </cfRule>
  </conditionalFormatting>
  <conditionalFormatting sqref="H349">
    <cfRule type="expression" dxfId="21" priority="18">
      <formula>$G$349-$F$349&lt;0</formula>
    </cfRule>
  </conditionalFormatting>
  <conditionalFormatting sqref="H350">
    <cfRule type="expression" dxfId="20" priority="17">
      <formula>$G$350-$F$350&lt;0</formula>
    </cfRule>
  </conditionalFormatting>
  <conditionalFormatting sqref="H351">
    <cfRule type="expression" dxfId="19" priority="19">
      <formula>$G$351-$F$351&lt;0</formula>
    </cfRule>
  </conditionalFormatting>
  <conditionalFormatting sqref="H349:H351">
    <cfRule type="containsText" dxfId="18" priority="16" operator="containsText" text="No">
      <formula>NOT(ISERROR(SEARCH("No",H349)))</formula>
    </cfRule>
  </conditionalFormatting>
  <conditionalFormatting sqref="G340:G342">
    <cfRule type="containsText" dxfId="17" priority="14" operator="containsText" text="Yes">
      <formula>NOT(ISERROR(SEARCH("Yes",G340)))</formula>
    </cfRule>
    <cfRule type="containsText" dxfId="16" priority="15" operator="containsText" text="No">
      <formula>NOT(ISERROR(SEARCH("No",G340)))</formula>
    </cfRule>
  </conditionalFormatting>
  <conditionalFormatting sqref="F320:F322">
    <cfRule type="containsText" dxfId="15" priority="13" operator="containsText" text="No">
      <formula>NOT(ISERROR(SEARCH("No",F320)))</formula>
    </cfRule>
  </conditionalFormatting>
  <conditionalFormatting sqref="I305:I307">
    <cfRule type="expression" dxfId="14" priority="10">
      <formula>$I$288&lt;0</formula>
    </cfRule>
  </conditionalFormatting>
  <conditionalFormatting sqref="F264:F265">
    <cfRule type="expression" dxfId="13" priority="11">
      <formula>$G$290&lt;0</formula>
    </cfRule>
  </conditionalFormatting>
  <conditionalFormatting sqref="G288:G290">
    <cfRule type="containsText" dxfId="12" priority="7" operator="containsText" text="No">
      <formula>NOT(ISERROR(SEARCH("No",G288)))</formula>
    </cfRule>
    <cfRule type="containsText" dxfId="11" priority="8" operator="containsText" text="Understated">
      <formula>NOT(ISERROR(SEARCH("Understated",G288)))</formula>
    </cfRule>
  </conditionalFormatting>
  <conditionalFormatting sqref="G305:G307">
    <cfRule type="containsText" dxfId="10" priority="5" operator="containsText" text="No">
      <formula>NOT(ISERROR(SEARCH("No",G305)))</formula>
    </cfRule>
    <cfRule type="containsText" dxfId="9" priority="6" operator="containsText" text="Understated">
      <formula>NOT(ISERROR(SEARCH("Understated",G305)))</formula>
    </cfRule>
  </conditionalFormatting>
  <conditionalFormatting sqref="E53 H53 I53 J53">
    <cfRule type="containsText" dxfId="8" priority="3" operator="containsText" text="Insufficient History">
      <formula>NOT(ISERROR(SEARCH("Insufficient History",E53)))</formula>
    </cfRule>
  </conditionalFormatting>
  <conditionalFormatting sqref="I107:I109">
    <cfRule type="containsText" dxfId="7" priority="2" operator="containsText" text="Yes">
      <formula>NOT(ISERROR(SEARCH("Yes",I107)))</formula>
    </cfRule>
    <cfRule type="containsText" dxfId="6" priority="197" operator="containsText" text="No">
      <formula>NOT(ISERROR(SEARCH("No",I107)))</formula>
    </cfRule>
  </conditionalFormatting>
  <conditionalFormatting sqref="E75 F75 E82 F82 E89 F89">
    <cfRule type="containsText" dxfId="5" priority="1" operator="containsText" text="Insufficient History">
      <formula>NOT(ISERROR(SEARCH("Insufficient History",E75)))</formula>
    </cfRule>
  </conditionalFormatting>
  <printOptions horizontalCentered="1"/>
  <pageMargins left="0.5" right="0.5" top="0.75" bottom="0.75" header="0.5" footer="0.5"/>
  <pageSetup scale="54" fitToHeight="0" orientation="portrait" r:id="rId1"/>
  <headerFooter alignWithMargins="0">
    <oddFooter>&amp;LRev. 7.06.2021</oddFooter>
  </headerFooter>
  <rowBreaks count="8" manualBreakCount="8">
    <brk id="37" max="16383" man="1"/>
    <brk id="91" max="16383" man="1"/>
    <brk id="143" max="16383" man="1"/>
    <brk id="196" max="16383" man="1"/>
    <brk id="261" max="16383" man="1"/>
    <brk id="311" max="16383" man="1"/>
    <brk id="344" max="16383" man="1"/>
    <brk id="402" max="16383" man="1"/>
  </rowBreaks>
  <legacyDrawing r:id="rId2"/>
  <extLst>
    <ext xmlns:x14="http://schemas.microsoft.com/office/spreadsheetml/2009/9/main" uri="{78C0D931-6437-407d-A8EE-F0AAD7539E65}">
      <x14:conditionalFormattings>
        <x14:conditionalFormatting xmlns:xm="http://schemas.microsoft.com/office/excel/2006/main">
          <x14:cfRule type="containsText" priority="132" operator="containsText" id="{F1078C55-191A-4F48-80A4-D3E5D1D0E587}">
            <xm:f>NOT(ISERROR(SEARCH('Drop Down Lists'!$A$4,C17)))</xm:f>
            <xm:f>'Drop Down Lists'!$A$4</xm:f>
            <x14:dxf>
              <font>
                <b/>
                <i val="0"/>
              </font>
              <fill>
                <patternFill>
                  <bgColor theme="5" tint="0.59996337778862885"/>
                </patternFill>
              </fill>
            </x14:dxf>
          </x14:cfRule>
          <x14:cfRule type="containsText" priority="133" operator="containsText" id="{301E0C8B-6335-4FD0-B2F3-3DD7166E62B0}">
            <xm:f>NOT(ISERROR(SEARCH('Drop Down Lists'!$A$3,C17)))</xm:f>
            <xm:f>'Drop Down Lists'!$A$3</xm:f>
            <x14:dxf>
              <font>
                <b/>
                <i val="0"/>
              </font>
              <fill>
                <patternFill>
                  <bgColor rgb="FFFFFF99"/>
                </patternFill>
              </fill>
            </x14:dxf>
          </x14:cfRule>
          <x14:cfRule type="containsText" priority="134" operator="containsText" id="{531C3FB7-A7B0-4245-AC90-9EBA84C264C3}">
            <xm:f>NOT(ISERROR(SEARCH('Drop Down Lists'!$A$2,C17)))</xm:f>
            <xm:f>'Drop Down Lists'!$A$2</xm:f>
            <x14:dxf>
              <font>
                <b/>
                <i val="0"/>
              </font>
              <fill>
                <patternFill>
                  <bgColor rgb="FF92D050"/>
                </patternFill>
              </fill>
            </x14:dxf>
          </x14:cfRule>
          <xm:sqref>C17:H17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AD1ABDFF-259F-44DA-8CA1-F2E61EED1B02}">
          <x14:formula1>
            <xm:f>'Drop Down Lists'!$A$2:$A$4</xm:f>
          </x14:formula1>
          <xm:sqref>I17:J17</xm:sqref>
        </x14:dataValidation>
        <x14:dataValidation type="list" allowBlank="1" showInputMessage="1" showErrorMessage="1" xr:uid="{43312227-20FD-4CBB-BA78-979112FD11E7}">
          <x14:formula1>
            <xm:f>'Drop Down Lists'!$A$1:$A$4</xm:f>
          </x14:formula1>
          <xm:sqref>C17:H17</xm:sqref>
        </x14:dataValidation>
        <x14:dataValidation type="list" allowBlank="1" showInputMessage="1" showErrorMessage="1" xr:uid="{DDCBD87A-44EB-4B2A-A87C-CC8848953159}">
          <x14:formula1>
            <xm:f>'Drop Down Lists'!$A$6:$A$8</xm:f>
          </x14:formula1>
          <xm:sqref>I9:I14 E62 E86 E72 E79 E98 I217 H386:H397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2:I62"/>
  <sheetViews>
    <sheetView workbookViewId="0"/>
  </sheetViews>
  <sheetFormatPr defaultRowHeight="13" x14ac:dyDescent="0.6"/>
  <cols>
    <col min="1" max="1" width="7.54296875" bestFit="1" customWidth="1"/>
    <col min="2" max="2" width="11.7265625" bestFit="1" customWidth="1"/>
    <col min="3" max="3" width="30.7265625" bestFit="1" customWidth="1"/>
    <col min="4" max="5" width="9.7265625" bestFit="1" customWidth="1"/>
    <col min="6" max="6" width="10.7265625" bestFit="1" customWidth="1"/>
    <col min="7" max="7" width="12.7265625" bestFit="1" customWidth="1"/>
    <col min="8" max="8" width="14.54296875" bestFit="1" customWidth="1"/>
    <col min="9" max="9" width="13.26953125" bestFit="1" customWidth="1"/>
  </cols>
  <sheetData>
    <row r="2" spans="1:3" x14ac:dyDescent="0.6">
      <c r="B2" s="124" t="s">
        <v>27</v>
      </c>
      <c r="C2" s="124" t="s">
        <v>26</v>
      </c>
    </row>
    <row r="3" spans="1:3" x14ac:dyDescent="0.6">
      <c r="A3" t="str">
        <f>Review!B46</f>
        <v>2018-19</v>
      </c>
      <c r="B3" s="58">
        <f>Review!F46</f>
        <v>0</v>
      </c>
      <c r="C3" s="58">
        <f>Review!C46</f>
        <v>0</v>
      </c>
    </row>
    <row r="4" spans="1:3" x14ac:dyDescent="0.6">
      <c r="A4" t="str">
        <f>Review!B47</f>
        <v>2019-20</v>
      </c>
      <c r="B4" s="58">
        <f>Review!F47</f>
        <v>3270</v>
      </c>
      <c r="C4" s="58">
        <f>Review!C47</f>
        <v>3181.82</v>
      </c>
    </row>
    <row r="5" spans="1:3" x14ac:dyDescent="0.6">
      <c r="A5" t="str">
        <f>Review!B48</f>
        <v>2020-21</v>
      </c>
      <c r="B5" s="58">
        <f>Review!F48</f>
        <v>3285</v>
      </c>
      <c r="C5" s="58">
        <f>Review!C48</f>
        <v>3181.82</v>
      </c>
    </row>
    <row r="6" spans="1:3" x14ac:dyDescent="0.6">
      <c r="A6" t="str">
        <f>Review!B49</f>
        <v>2021-22</v>
      </c>
      <c r="B6" s="58">
        <f>Review!F49</f>
        <v>3315</v>
      </c>
      <c r="C6" s="58">
        <f>Review!C49</f>
        <v>3365.09</v>
      </c>
    </row>
    <row r="7" spans="1:3" x14ac:dyDescent="0.6">
      <c r="A7" t="str">
        <f>Review!B50</f>
        <v>2022-23</v>
      </c>
      <c r="B7" s="58">
        <f>Review!F50</f>
        <v>3548</v>
      </c>
      <c r="C7" s="58">
        <f>Review!C50</f>
        <v>3545.16</v>
      </c>
    </row>
    <row r="8" spans="1:3" x14ac:dyDescent="0.6">
      <c r="A8" t="str">
        <f>Review!B51</f>
        <v>2023-24</v>
      </c>
      <c r="B8" s="58">
        <f>Review!F51</f>
        <v>3548</v>
      </c>
      <c r="C8" s="58">
        <f>Review!C51</f>
        <v>3545.16</v>
      </c>
    </row>
    <row r="9" spans="1:3" x14ac:dyDescent="0.6">
      <c r="A9" t="str">
        <f>Review!B52</f>
        <v>2024-25</v>
      </c>
      <c r="B9" s="58">
        <f>Review!F52</f>
        <v>3548</v>
      </c>
      <c r="C9" s="58">
        <f>Review!C52</f>
        <v>3545.16</v>
      </c>
    </row>
    <row r="22" spans="1:9" x14ac:dyDescent="0.6">
      <c r="C22" s="124" t="s">
        <v>43</v>
      </c>
    </row>
    <row r="23" spans="1:9" x14ac:dyDescent="0.6">
      <c r="B23" s="126" t="s">
        <v>119</v>
      </c>
      <c r="C23" s="125" t="s">
        <v>44</v>
      </c>
      <c r="D23" s="125" t="s">
        <v>45</v>
      </c>
      <c r="E23" s="125" t="s">
        <v>46</v>
      </c>
      <c r="F23" s="125" t="s">
        <v>47</v>
      </c>
      <c r="G23" s="125" t="s">
        <v>48</v>
      </c>
      <c r="H23" s="125"/>
      <c r="I23" s="125" t="s">
        <v>49</v>
      </c>
    </row>
    <row r="24" spans="1:9" s="124" customFormat="1" x14ac:dyDescent="0.6">
      <c r="B24" s="124" t="s">
        <v>50</v>
      </c>
      <c r="C24" s="124" t="s">
        <v>51</v>
      </c>
      <c r="D24" s="124" t="s">
        <v>52</v>
      </c>
      <c r="E24" s="124" t="s">
        <v>53</v>
      </c>
      <c r="F24" s="124" t="s">
        <v>54</v>
      </c>
      <c r="G24" s="124" t="s">
        <v>55</v>
      </c>
      <c r="H24" s="124" t="s">
        <v>56</v>
      </c>
      <c r="I24" s="124" t="s">
        <v>57</v>
      </c>
    </row>
    <row r="25" spans="1:9" x14ac:dyDescent="0.6">
      <c r="A25" t="str">
        <f>Review!B104</f>
        <v>2019-20</v>
      </c>
      <c r="B25" s="123"/>
      <c r="C25" s="86">
        <f>Review!D104</f>
        <v>0</v>
      </c>
      <c r="D25" s="86">
        <f>Review!E104</f>
        <v>29388872</v>
      </c>
      <c r="E25" s="86">
        <f>Review!F104</f>
        <v>27690509</v>
      </c>
      <c r="F25" s="86">
        <f>Review!G104</f>
        <v>1698363</v>
      </c>
      <c r="G25" s="86">
        <f>Review!H104</f>
        <v>1698363</v>
      </c>
      <c r="H25">
        <f>Review!I104</f>
        <v>0</v>
      </c>
      <c r="I25" t="str">
        <f>Review!J104</f>
        <v>no deficit</v>
      </c>
    </row>
    <row r="26" spans="1:9" x14ac:dyDescent="0.6">
      <c r="A26" t="str">
        <f>Review!B105</f>
        <v>2020-21</v>
      </c>
      <c r="B26" s="123"/>
      <c r="C26" s="86">
        <f>Review!D105</f>
        <v>1698363</v>
      </c>
      <c r="D26" s="86">
        <f>Review!E105</f>
        <v>28358249</v>
      </c>
      <c r="E26" s="86">
        <f>Review!F105</f>
        <v>28044513</v>
      </c>
      <c r="F26" s="86">
        <f>Review!G105</f>
        <v>2012099</v>
      </c>
      <c r="G26" s="86">
        <f>Review!H105</f>
        <v>313736</v>
      </c>
      <c r="H26">
        <f>Review!I105</f>
        <v>0</v>
      </c>
      <c r="I26" t="str">
        <f>Review!J105</f>
        <v>no deficit</v>
      </c>
    </row>
    <row r="27" spans="1:9" x14ac:dyDescent="0.6">
      <c r="A27" t="str">
        <f>Review!B106</f>
        <v>2021-22</v>
      </c>
      <c r="B27" s="123"/>
      <c r="C27" s="86">
        <f>Review!D106</f>
        <v>2012099</v>
      </c>
      <c r="D27" s="86">
        <f>Review!E106</f>
        <v>39503740</v>
      </c>
      <c r="E27" s="86">
        <f>Review!F106</f>
        <v>38664908</v>
      </c>
      <c r="F27" s="86">
        <f>Review!G106</f>
        <v>2850931</v>
      </c>
      <c r="G27" s="86">
        <f>Review!H106</f>
        <v>838832</v>
      </c>
      <c r="H27">
        <f>Review!I106</f>
        <v>0</v>
      </c>
      <c r="I27" t="str">
        <f>Review!J106</f>
        <v>no deficit</v>
      </c>
    </row>
    <row r="28" spans="1:9" x14ac:dyDescent="0.6">
      <c r="A28" t="str">
        <f>Review!B107</f>
        <v>2022-23</v>
      </c>
      <c r="B28" s="86">
        <f>Review!C107</f>
        <v>0</v>
      </c>
      <c r="C28" s="86">
        <f>Review!D107</f>
        <v>2850930.6899999976</v>
      </c>
      <c r="D28" s="86">
        <f>Review!E107</f>
        <v>39393065.789999999</v>
      </c>
      <c r="E28" s="86">
        <f>Review!F107</f>
        <v>38911884.140000001</v>
      </c>
      <c r="F28" s="86">
        <f>Review!G107</f>
        <v>3332112.3399999961</v>
      </c>
      <c r="G28" s="86">
        <f>Review!H107</f>
        <v>481181.64999999851</v>
      </c>
      <c r="H28" t="str">
        <f>Review!I107</f>
        <v>No</v>
      </c>
      <c r="I28" t="str">
        <f>Review!J107</f>
        <v>no deficit</v>
      </c>
    </row>
    <row r="29" spans="1:9" x14ac:dyDescent="0.6">
      <c r="A29" t="str">
        <f>Review!B108</f>
        <v>2023-24</v>
      </c>
      <c r="B29" s="123"/>
      <c r="C29" s="86">
        <f>Review!D108</f>
        <v>3332112.3399999961</v>
      </c>
      <c r="D29" s="86">
        <f>Review!E108</f>
        <v>41397872.780000001</v>
      </c>
      <c r="E29" s="86">
        <f>Review!F108</f>
        <v>39328852.719999999</v>
      </c>
      <c r="F29" s="86">
        <f>Review!G108</f>
        <v>5401132.3999999985</v>
      </c>
      <c r="G29" s="86">
        <f>Review!H108</f>
        <v>2069020.0600000024</v>
      </c>
      <c r="H29" t="str">
        <f>Review!I108</f>
        <v>No</v>
      </c>
      <c r="I29" t="str">
        <f>Review!J108</f>
        <v>no deficit</v>
      </c>
    </row>
    <row r="30" spans="1:9" x14ac:dyDescent="0.6">
      <c r="A30" t="str">
        <f>Review!B109</f>
        <v>2024-25</v>
      </c>
      <c r="B30" s="123"/>
      <c r="C30" s="86">
        <f>Review!D109</f>
        <v>5401132.3999999985</v>
      </c>
      <c r="D30" s="86">
        <f>Review!E109</f>
        <v>43045758.909999996</v>
      </c>
      <c r="E30" s="86">
        <f>Review!F109</f>
        <v>39372708.299999997</v>
      </c>
      <c r="F30" s="86">
        <f>Review!G109</f>
        <v>9074183.0099999979</v>
      </c>
      <c r="G30" s="86">
        <f>Review!H109</f>
        <v>3673050.6099999994</v>
      </c>
      <c r="H30" t="str">
        <f>Review!I109</f>
        <v>No</v>
      </c>
      <c r="I30" t="str">
        <f>Review!J109</f>
        <v>no deficit</v>
      </c>
    </row>
    <row r="38" spans="1:9" x14ac:dyDescent="0.6">
      <c r="C38" s="124" t="s">
        <v>58</v>
      </c>
    </row>
    <row r="39" spans="1:9" x14ac:dyDescent="0.6">
      <c r="B39" s="126" t="s">
        <v>119</v>
      </c>
      <c r="C39" s="125" t="s">
        <v>44</v>
      </c>
      <c r="D39" s="125" t="s">
        <v>45</v>
      </c>
      <c r="E39" s="125" t="s">
        <v>46</v>
      </c>
      <c r="F39" s="125" t="s">
        <v>47</v>
      </c>
      <c r="G39" s="125" t="s">
        <v>48</v>
      </c>
      <c r="H39" s="125"/>
      <c r="I39" s="125"/>
    </row>
    <row r="40" spans="1:9" s="124" customFormat="1" x14ac:dyDescent="0.6">
      <c r="B40" s="124" t="s">
        <v>50</v>
      </c>
      <c r="C40" s="124" t="s">
        <v>51</v>
      </c>
      <c r="D40" s="124" t="s">
        <v>52</v>
      </c>
      <c r="E40" s="124" t="s">
        <v>53</v>
      </c>
      <c r="F40" s="124" t="s">
        <v>54</v>
      </c>
      <c r="G40" s="124" t="s">
        <v>55</v>
      </c>
    </row>
    <row r="41" spans="1:9" x14ac:dyDescent="0.6">
      <c r="A41" t="str">
        <f>Review!B119</f>
        <v>2019-20</v>
      </c>
      <c r="B41" s="123"/>
      <c r="C41" s="86">
        <f>Review!D119</f>
        <v>0</v>
      </c>
      <c r="D41" s="86">
        <f>Review!E119</f>
        <v>2121647</v>
      </c>
      <c r="E41" s="86">
        <f>Review!F119</f>
        <v>2121647</v>
      </c>
      <c r="F41" s="86">
        <f>Review!G119</f>
        <v>0</v>
      </c>
      <c r="G41" s="86">
        <f>Review!H119</f>
        <v>0</v>
      </c>
    </row>
    <row r="42" spans="1:9" x14ac:dyDescent="0.6">
      <c r="A42" t="str">
        <f>Review!B120</f>
        <v>2020-21</v>
      </c>
      <c r="B42" s="123"/>
      <c r="C42" s="86">
        <f>Review!D120</f>
        <v>0</v>
      </c>
      <c r="D42" s="86">
        <f>Review!E120</f>
        <v>4357179</v>
      </c>
      <c r="E42" s="86">
        <f>Review!F120</f>
        <v>4357179</v>
      </c>
      <c r="F42" s="86">
        <f>Review!G120</f>
        <v>0</v>
      </c>
      <c r="G42" s="86">
        <f>Review!H120</f>
        <v>0</v>
      </c>
    </row>
    <row r="43" spans="1:9" x14ac:dyDescent="0.6">
      <c r="A43" t="str">
        <f>Review!B121</f>
        <v>2021-22</v>
      </c>
      <c r="B43" s="123"/>
      <c r="C43" s="86">
        <f>Review!D121</f>
        <v>0</v>
      </c>
      <c r="D43" s="86">
        <f>Review!E121</f>
        <v>7560092</v>
      </c>
      <c r="E43" s="86">
        <f>Review!F121</f>
        <v>7560092</v>
      </c>
      <c r="F43" s="86">
        <f>Review!G121</f>
        <v>0</v>
      </c>
      <c r="G43" s="86">
        <f>Review!H121</f>
        <v>0</v>
      </c>
    </row>
    <row r="44" spans="1:9" x14ac:dyDescent="0.6">
      <c r="A44" t="str">
        <f>Review!B122</f>
        <v>2022-23</v>
      </c>
      <c r="B44" s="86">
        <f>Review!C122</f>
        <v>0</v>
      </c>
      <c r="C44" s="86">
        <f>Review!D122</f>
        <v>0</v>
      </c>
      <c r="D44" s="86">
        <f>Review!E122</f>
        <v>4199074.99</v>
      </c>
      <c r="E44" s="86">
        <f>Review!F122</f>
        <v>4199075.040000001</v>
      </c>
      <c r="F44" s="86">
        <f>Review!G122</f>
        <v>-5.000000074505806E-2</v>
      </c>
      <c r="G44" s="86">
        <f>Review!H122</f>
        <v>-5.000000074505806E-2</v>
      </c>
    </row>
    <row r="45" spans="1:9" x14ac:dyDescent="0.6">
      <c r="A45" t="str">
        <f>Review!B123</f>
        <v>2023-24</v>
      </c>
      <c r="B45" s="123"/>
      <c r="C45" s="86">
        <f>Review!D123</f>
        <v>0</v>
      </c>
      <c r="D45" s="86">
        <f>Review!E123</f>
        <v>3736645.0300000003</v>
      </c>
      <c r="E45" s="86">
        <f>Review!F123</f>
        <v>3736645.0400000005</v>
      </c>
      <c r="F45" s="86">
        <f>Review!G123</f>
        <v>-1.0000000242143869E-2</v>
      </c>
      <c r="G45" s="86">
        <f>Review!H123</f>
        <v>-1.0000000242143869E-2</v>
      </c>
    </row>
    <row r="46" spans="1:9" x14ac:dyDescent="0.6">
      <c r="A46" t="str">
        <f>Review!B124</f>
        <v>2024-25</v>
      </c>
      <c r="B46" s="123"/>
      <c r="C46" s="86">
        <f>Review!D124</f>
        <v>0</v>
      </c>
      <c r="D46" s="86">
        <f>Review!E124</f>
        <v>3736645.0300000003</v>
      </c>
      <c r="E46" s="86">
        <f>Review!F124</f>
        <v>3736645.0400000005</v>
      </c>
      <c r="F46" s="86">
        <f>Review!G124</f>
        <v>-1.0000000242143869E-2</v>
      </c>
      <c r="G46" s="86">
        <f>Review!H124</f>
        <v>-1.0000000242143869E-2</v>
      </c>
    </row>
    <row r="54" spans="1:9" x14ac:dyDescent="0.6">
      <c r="C54" s="124" t="s">
        <v>59</v>
      </c>
    </row>
    <row r="55" spans="1:9" x14ac:dyDescent="0.6">
      <c r="B55" s="126" t="s">
        <v>119</v>
      </c>
      <c r="C55" s="125" t="s">
        <v>44</v>
      </c>
      <c r="D55" s="125" t="s">
        <v>45</v>
      </c>
      <c r="E55" s="125" t="s">
        <v>46</v>
      </c>
      <c r="F55" s="125" t="s">
        <v>47</v>
      </c>
      <c r="G55" s="125" t="s">
        <v>48</v>
      </c>
      <c r="H55" s="125"/>
      <c r="I55" s="125"/>
    </row>
    <row r="56" spans="1:9" s="124" customFormat="1" x14ac:dyDescent="0.6">
      <c r="B56" s="124" t="s">
        <v>50</v>
      </c>
      <c r="C56" s="124" t="s">
        <v>51</v>
      </c>
      <c r="D56" s="124" t="s">
        <v>52</v>
      </c>
      <c r="E56" s="124" t="s">
        <v>53</v>
      </c>
      <c r="F56" s="124" t="s">
        <v>54</v>
      </c>
      <c r="G56" s="124" t="s">
        <v>55</v>
      </c>
    </row>
    <row r="57" spans="1:9" x14ac:dyDescent="0.6">
      <c r="A57" t="str">
        <f>Review!B134</f>
        <v>2019-20</v>
      </c>
      <c r="B57" s="123"/>
      <c r="C57" s="86">
        <f>Review!D134</f>
        <v>0</v>
      </c>
      <c r="D57" s="86">
        <f>Review!E134</f>
        <v>31510519</v>
      </c>
      <c r="E57" s="86">
        <f>Review!F134</f>
        <v>29812156</v>
      </c>
      <c r="F57" s="86">
        <f>Review!G134</f>
        <v>1698363</v>
      </c>
      <c r="G57" s="86">
        <f>Review!H134</f>
        <v>1698363</v>
      </c>
    </row>
    <row r="58" spans="1:9" x14ac:dyDescent="0.6">
      <c r="A58" t="str">
        <f>Review!B135</f>
        <v>2020-21</v>
      </c>
      <c r="B58" s="123"/>
      <c r="C58" s="86">
        <f>Review!D135</f>
        <v>1698363</v>
      </c>
      <c r="D58" s="86">
        <f>Review!E135</f>
        <v>32715428</v>
      </c>
      <c r="E58" s="86">
        <f>Review!F135</f>
        <v>32401692</v>
      </c>
      <c r="F58" s="86">
        <f>Review!G135</f>
        <v>2012099</v>
      </c>
      <c r="G58" s="86">
        <f>Review!H135</f>
        <v>313736</v>
      </c>
    </row>
    <row r="59" spans="1:9" x14ac:dyDescent="0.6">
      <c r="A59" t="str">
        <f>Review!B136</f>
        <v>2021-22</v>
      </c>
      <c r="B59" s="123"/>
      <c r="C59" s="86">
        <f>Review!D136</f>
        <v>2012099</v>
      </c>
      <c r="D59" s="86">
        <f>Review!E136</f>
        <v>47063832</v>
      </c>
      <c r="E59" s="86">
        <f>Review!F136</f>
        <v>46225000</v>
      </c>
      <c r="F59" s="86">
        <f>Review!G136</f>
        <v>2850931</v>
      </c>
      <c r="G59" s="86">
        <f>Review!H136</f>
        <v>838832</v>
      </c>
    </row>
    <row r="60" spans="1:9" x14ac:dyDescent="0.6">
      <c r="A60" t="str">
        <f>Review!B137</f>
        <v>2022-23</v>
      </c>
      <c r="B60" s="86">
        <f>Review!C137</f>
        <v>0</v>
      </c>
      <c r="C60" s="86">
        <f>Review!D137</f>
        <v>2850930.6899999976</v>
      </c>
      <c r="D60" s="86">
        <f>Review!E137</f>
        <v>43592140.780000001</v>
      </c>
      <c r="E60" s="86">
        <f>Review!F137</f>
        <v>43110959.18</v>
      </c>
      <c r="F60" s="86">
        <f>Review!G137</f>
        <v>3332112.2899999991</v>
      </c>
      <c r="G60" s="86">
        <f>Review!H137</f>
        <v>481181.60000000149</v>
      </c>
    </row>
    <row r="61" spans="1:9" x14ac:dyDescent="0.6">
      <c r="A61" t="str">
        <f>Review!B138</f>
        <v>2023-24</v>
      </c>
      <c r="B61" s="123"/>
      <c r="C61" s="86">
        <f>Review!D138</f>
        <v>3332112.3399999961</v>
      </c>
      <c r="D61" s="86">
        <f>Review!E138</f>
        <v>45134517.810000002</v>
      </c>
      <c r="E61" s="86">
        <f>Review!F138</f>
        <v>43065497.759999998</v>
      </c>
      <c r="F61" s="86">
        <f>Review!G138</f>
        <v>5401132.3899999987</v>
      </c>
      <c r="G61" s="86">
        <f>Review!H138</f>
        <v>2069020.0500000021</v>
      </c>
    </row>
    <row r="62" spans="1:9" x14ac:dyDescent="0.6">
      <c r="A62" t="str">
        <f>Review!B139</f>
        <v>2024-25</v>
      </c>
      <c r="B62" s="123"/>
      <c r="C62" s="86">
        <f>Review!D139</f>
        <v>5401132.3999999985</v>
      </c>
      <c r="D62" s="86">
        <f>Review!E139</f>
        <v>46782403.939999998</v>
      </c>
      <c r="E62" s="86">
        <f>Review!F139</f>
        <v>43109353.339999996</v>
      </c>
      <c r="F62" s="86">
        <f>Review!G139</f>
        <v>9074182.9999999981</v>
      </c>
      <c r="G62" s="86">
        <f>Review!H139</f>
        <v>3673050.5999999992</v>
      </c>
    </row>
  </sheetData>
  <sheetProtection sheet="1" objects="1" scenarios="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4550-30F2-44E8-A27C-1089076D3174}">
  <dimension ref="A1:J154"/>
  <sheetViews>
    <sheetView workbookViewId="0">
      <selection sqref="A1:E152"/>
    </sheetView>
  </sheetViews>
  <sheetFormatPr defaultRowHeight="13" x14ac:dyDescent="0.6"/>
  <cols>
    <col min="1" max="1" width="56.86328125" style="414" customWidth="1"/>
    <col min="2" max="2" width="17" style="414" customWidth="1"/>
    <col min="3" max="3" width="14" style="414" customWidth="1"/>
    <col min="4" max="4" width="14.86328125" style="414" customWidth="1"/>
    <col min="5" max="5" width="14" style="414" customWidth="1"/>
    <col min="6" max="8" width="9.1328125" style="414"/>
    <col min="9" max="9" width="19" style="414" customWidth="1"/>
    <col min="10" max="10" width="23.7265625" style="414" customWidth="1"/>
    <col min="11" max="256" width="9.1328125" style="414"/>
    <col min="257" max="257" width="56.86328125" style="414" customWidth="1"/>
    <col min="258" max="258" width="17" style="414" customWidth="1"/>
    <col min="259" max="259" width="14" style="414" customWidth="1"/>
    <col min="260" max="260" width="14.86328125" style="414" customWidth="1"/>
    <col min="261" max="261" width="14" style="414" customWidth="1"/>
    <col min="262" max="264" width="9.1328125" style="414"/>
    <col min="265" max="265" width="19" style="414" customWidth="1"/>
    <col min="266" max="266" width="23.7265625" style="414" customWidth="1"/>
    <col min="267" max="512" width="9.1328125" style="414"/>
    <col min="513" max="513" width="56.86328125" style="414" customWidth="1"/>
    <col min="514" max="514" width="17" style="414" customWidth="1"/>
    <col min="515" max="515" width="14" style="414" customWidth="1"/>
    <col min="516" max="516" width="14.86328125" style="414" customWidth="1"/>
    <col min="517" max="517" width="14" style="414" customWidth="1"/>
    <col min="518" max="520" width="9.1328125" style="414"/>
    <col min="521" max="521" width="19" style="414" customWidth="1"/>
    <col min="522" max="522" width="23.7265625" style="414" customWidth="1"/>
    <col min="523" max="768" width="9.1328125" style="414"/>
    <col min="769" max="769" width="56.86328125" style="414" customWidth="1"/>
    <col min="770" max="770" width="17" style="414" customWidth="1"/>
    <col min="771" max="771" width="14" style="414" customWidth="1"/>
    <col min="772" max="772" width="14.86328125" style="414" customWidth="1"/>
    <col min="773" max="773" width="14" style="414" customWidth="1"/>
    <col min="774" max="776" width="9.1328125" style="414"/>
    <col min="777" max="777" width="19" style="414" customWidth="1"/>
    <col min="778" max="778" width="23.7265625" style="414" customWidth="1"/>
    <col min="779" max="1024" width="9.1328125" style="414"/>
    <col min="1025" max="1025" width="56.86328125" style="414" customWidth="1"/>
    <col min="1026" max="1026" width="17" style="414" customWidth="1"/>
    <col min="1027" max="1027" width="14" style="414" customWidth="1"/>
    <col min="1028" max="1028" width="14.86328125" style="414" customWidth="1"/>
    <col min="1029" max="1029" width="14" style="414" customWidth="1"/>
    <col min="1030" max="1032" width="9.1328125" style="414"/>
    <col min="1033" max="1033" width="19" style="414" customWidth="1"/>
    <col min="1034" max="1034" width="23.7265625" style="414" customWidth="1"/>
    <col min="1035" max="1280" width="9.1328125" style="414"/>
    <col min="1281" max="1281" width="56.86328125" style="414" customWidth="1"/>
    <col min="1282" max="1282" width="17" style="414" customWidth="1"/>
    <col min="1283" max="1283" width="14" style="414" customWidth="1"/>
    <col min="1284" max="1284" width="14.86328125" style="414" customWidth="1"/>
    <col min="1285" max="1285" width="14" style="414" customWidth="1"/>
    <col min="1286" max="1288" width="9.1328125" style="414"/>
    <col min="1289" max="1289" width="19" style="414" customWidth="1"/>
    <col min="1290" max="1290" width="23.7265625" style="414" customWidth="1"/>
    <col min="1291" max="1536" width="9.1328125" style="414"/>
    <col min="1537" max="1537" width="56.86328125" style="414" customWidth="1"/>
    <col min="1538" max="1538" width="17" style="414" customWidth="1"/>
    <col min="1539" max="1539" width="14" style="414" customWidth="1"/>
    <col min="1540" max="1540" width="14.86328125" style="414" customWidth="1"/>
    <col min="1541" max="1541" width="14" style="414" customWidth="1"/>
    <col min="1542" max="1544" width="9.1328125" style="414"/>
    <col min="1545" max="1545" width="19" style="414" customWidth="1"/>
    <col min="1546" max="1546" width="23.7265625" style="414" customWidth="1"/>
    <col min="1547" max="1792" width="9.1328125" style="414"/>
    <col min="1793" max="1793" width="56.86328125" style="414" customWidth="1"/>
    <col min="1794" max="1794" width="17" style="414" customWidth="1"/>
    <col min="1795" max="1795" width="14" style="414" customWidth="1"/>
    <col min="1796" max="1796" width="14.86328125" style="414" customWidth="1"/>
    <col min="1797" max="1797" width="14" style="414" customWidth="1"/>
    <col min="1798" max="1800" width="9.1328125" style="414"/>
    <col min="1801" max="1801" width="19" style="414" customWidth="1"/>
    <col min="1802" max="1802" width="23.7265625" style="414" customWidth="1"/>
    <col min="1803" max="2048" width="9.1328125" style="414"/>
    <col min="2049" max="2049" width="56.86328125" style="414" customWidth="1"/>
    <col min="2050" max="2050" width="17" style="414" customWidth="1"/>
    <col min="2051" max="2051" width="14" style="414" customWidth="1"/>
    <col min="2052" max="2052" width="14.86328125" style="414" customWidth="1"/>
    <col min="2053" max="2053" width="14" style="414" customWidth="1"/>
    <col min="2054" max="2056" width="9.1328125" style="414"/>
    <col min="2057" max="2057" width="19" style="414" customWidth="1"/>
    <col min="2058" max="2058" width="23.7265625" style="414" customWidth="1"/>
    <col min="2059" max="2304" width="9.1328125" style="414"/>
    <col min="2305" max="2305" width="56.86328125" style="414" customWidth="1"/>
    <col min="2306" max="2306" width="17" style="414" customWidth="1"/>
    <col min="2307" max="2307" width="14" style="414" customWidth="1"/>
    <col min="2308" max="2308" width="14.86328125" style="414" customWidth="1"/>
    <col min="2309" max="2309" width="14" style="414" customWidth="1"/>
    <col min="2310" max="2312" width="9.1328125" style="414"/>
    <col min="2313" max="2313" width="19" style="414" customWidth="1"/>
    <col min="2314" max="2314" width="23.7265625" style="414" customWidth="1"/>
    <col min="2315" max="2560" width="9.1328125" style="414"/>
    <col min="2561" max="2561" width="56.86328125" style="414" customWidth="1"/>
    <col min="2562" max="2562" width="17" style="414" customWidth="1"/>
    <col min="2563" max="2563" width="14" style="414" customWidth="1"/>
    <col min="2564" max="2564" width="14.86328125" style="414" customWidth="1"/>
    <col min="2565" max="2565" width="14" style="414" customWidth="1"/>
    <col min="2566" max="2568" width="9.1328125" style="414"/>
    <col min="2569" max="2569" width="19" style="414" customWidth="1"/>
    <col min="2570" max="2570" width="23.7265625" style="414" customWidth="1"/>
    <col min="2571" max="2816" width="9.1328125" style="414"/>
    <col min="2817" max="2817" width="56.86328125" style="414" customWidth="1"/>
    <col min="2818" max="2818" width="17" style="414" customWidth="1"/>
    <col min="2819" max="2819" width="14" style="414" customWidth="1"/>
    <col min="2820" max="2820" width="14.86328125" style="414" customWidth="1"/>
    <col min="2821" max="2821" width="14" style="414" customWidth="1"/>
    <col min="2822" max="2824" width="9.1328125" style="414"/>
    <col min="2825" max="2825" width="19" style="414" customWidth="1"/>
    <col min="2826" max="2826" width="23.7265625" style="414" customWidth="1"/>
    <col min="2827" max="3072" width="9.1328125" style="414"/>
    <col min="3073" max="3073" width="56.86328125" style="414" customWidth="1"/>
    <col min="3074" max="3074" width="17" style="414" customWidth="1"/>
    <col min="3075" max="3075" width="14" style="414" customWidth="1"/>
    <col min="3076" max="3076" width="14.86328125" style="414" customWidth="1"/>
    <col min="3077" max="3077" width="14" style="414" customWidth="1"/>
    <col min="3078" max="3080" width="9.1328125" style="414"/>
    <col min="3081" max="3081" width="19" style="414" customWidth="1"/>
    <col min="3082" max="3082" width="23.7265625" style="414" customWidth="1"/>
    <col min="3083" max="3328" width="9.1328125" style="414"/>
    <col min="3329" max="3329" width="56.86328125" style="414" customWidth="1"/>
    <col min="3330" max="3330" width="17" style="414" customWidth="1"/>
    <col min="3331" max="3331" width="14" style="414" customWidth="1"/>
    <col min="3332" max="3332" width="14.86328125" style="414" customWidth="1"/>
    <col min="3333" max="3333" width="14" style="414" customWidth="1"/>
    <col min="3334" max="3336" width="9.1328125" style="414"/>
    <col min="3337" max="3337" width="19" style="414" customWidth="1"/>
    <col min="3338" max="3338" width="23.7265625" style="414" customWidth="1"/>
    <col min="3339" max="3584" width="9.1328125" style="414"/>
    <col min="3585" max="3585" width="56.86328125" style="414" customWidth="1"/>
    <col min="3586" max="3586" width="17" style="414" customWidth="1"/>
    <col min="3587" max="3587" width="14" style="414" customWidth="1"/>
    <col min="3588" max="3588" width="14.86328125" style="414" customWidth="1"/>
    <col min="3589" max="3589" width="14" style="414" customWidth="1"/>
    <col min="3590" max="3592" width="9.1328125" style="414"/>
    <col min="3593" max="3593" width="19" style="414" customWidth="1"/>
    <col min="3594" max="3594" width="23.7265625" style="414" customWidth="1"/>
    <col min="3595" max="3840" width="9.1328125" style="414"/>
    <col min="3841" max="3841" width="56.86328125" style="414" customWidth="1"/>
    <col min="3842" max="3842" width="17" style="414" customWidth="1"/>
    <col min="3843" max="3843" width="14" style="414" customWidth="1"/>
    <col min="3844" max="3844" width="14.86328125" style="414" customWidth="1"/>
    <col min="3845" max="3845" width="14" style="414" customWidth="1"/>
    <col min="3846" max="3848" width="9.1328125" style="414"/>
    <col min="3849" max="3849" width="19" style="414" customWidth="1"/>
    <col min="3850" max="3850" width="23.7265625" style="414" customWidth="1"/>
    <col min="3851" max="4096" width="9.1328125" style="414"/>
    <col min="4097" max="4097" width="56.86328125" style="414" customWidth="1"/>
    <col min="4098" max="4098" width="17" style="414" customWidth="1"/>
    <col min="4099" max="4099" width="14" style="414" customWidth="1"/>
    <col min="4100" max="4100" width="14.86328125" style="414" customWidth="1"/>
    <col min="4101" max="4101" width="14" style="414" customWidth="1"/>
    <col min="4102" max="4104" width="9.1328125" style="414"/>
    <col min="4105" max="4105" width="19" style="414" customWidth="1"/>
    <col min="4106" max="4106" width="23.7265625" style="414" customWidth="1"/>
    <col min="4107" max="4352" width="9.1328125" style="414"/>
    <col min="4353" max="4353" width="56.86328125" style="414" customWidth="1"/>
    <col min="4354" max="4354" width="17" style="414" customWidth="1"/>
    <col min="4355" max="4355" width="14" style="414" customWidth="1"/>
    <col min="4356" max="4356" width="14.86328125" style="414" customWidth="1"/>
    <col min="4357" max="4357" width="14" style="414" customWidth="1"/>
    <col min="4358" max="4360" width="9.1328125" style="414"/>
    <col min="4361" max="4361" width="19" style="414" customWidth="1"/>
    <col min="4362" max="4362" width="23.7265625" style="414" customWidth="1"/>
    <col min="4363" max="4608" width="9.1328125" style="414"/>
    <col min="4609" max="4609" width="56.86328125" style="414" customWidth="1"/>
    <col min="4610" max="4610" width="17" style="414" customWidth="1"/>
    <col min="4611" max="4611" width="14" style="414" customWidth="1"/>
    <col min="4612" max="4612" width="14.86328125" style="414" customWidth="1"/>
    <col min="4613" max="4613" width="14" style="414" customWidth="1"/>
    <col min="4614" max="4616" width="9.1328125" style="414"/>
    <col min="4617" max="4617" width="19" style="414" customWidth="1"/>
    <col min="4618" max="4618" width="23.7265625" style="414" customWidth="1"/>
    <col min="4619" max="4864" width="9.1328125" style="414"/>
    <col min="4865" max="4865" width="56.86328125" style="414" customWidth="1"/>
    <col min="4866" max="4866" width="17" style="414" customWidth="1"/>
    <col min="4867" max="4867" width="14" style="414" customWidth="1"/>
    <col min="4868" max="4868" width="14.86328125" style="414" customWidth="1"/>
    <col min="4869" max="4869" width="14" style="414" customWidth="1"/>
    <col min="4870" max="4872" width="9.1328125" style="414"/>
    <col min="4873" max="4873" width="19" style="414" customWidth="1"/>
    <col min="4874" max="4874" width="23.7265625" style="414" customWidth="1"/>
    <col min="4875" max="5120" width="9.1328125" style="414"/>
    <col min="5121" max="5121" width="56.86328125" style="414" customWidth="1"/>
    <col min="5122" max="5122" width="17" style="414" customWidth="1"/>
    <col min="5123" max="5123" width="14" style="414" customWidth="1"/>
    <col min="5124" max="5124" width="14.86328125" style="414" customWidth="1"/>
    <col min="5125" max="5125" width="14" style="414" customWidth="1"/>
    <col min="5126" max="5128" width="9.1328125" style="414"/>
    <col min="5129" max="5129" width="19" style="414" customWidth="1"/>
    <col min="5130" max="5130" width="23.7265625" style="414" customWidth="1"/>
    <col min="5131" max="5376" width="9.1328125" style="414"/>
    <col min="5377" max="5377" width="56.86328125" style="414" customWidth="1"/>
    <col min="5378" max="5378" width="17" style="414" customWidth="1"/>
    <col min="5379" max="5379" width="14" style="414" customWidth="1"/>
    <col min="5380" max="5380" width="14.86328125" style="414" customWidth="1"/>
    <col min="5381" max="5381" width="14" style="414" customWidth="1"/>
    <col min="5382" max="5384" width="9.1328125" style="414"/>
    <col min="5385" max="5385" width="19" style="414" customWidth="1"/>
    <col min="5386" max="5386" width="23.7265625" style="414" customWidth="1"/>
    <col min="5387" max="5632" width="9.1328125" style="414"/>
    <col min="5633" max="5633" width="56.86328125" style="414" customWidth="1"/>
    <col min="5634" max="5634" width="17" style="414" customWidth="1"/>
    <col min="5635" max="5635" width="14" style="414" customWidth="1"/>
    <col min="5636" max="5636" width="14.86328125" style="414" customWidth="1"/>
    <col min="5637" max="5637" width="14" style="414" customWidth="1"/>
    <col min="5638" max="5640" width="9.1328125" style="414"/>
    <col min="5641" max="5641" width="19" style="414" customWidth="1"/>
    <col min="5642" max="5642" width="23.7265625" style="414" customWidth="1"/>
    <col min="5643" max="5888" width="9.1328125" style="414"/>
    <col min="5889" max="5889" width="56.86328125" style="414" customWidth="1"/>
    <col min="5890" max="5890" width="17" style="414" customWidth="1"/>
    <col min="5891" max="5891" width="14" style="414" customWidth="1"/>
    <col min="5892" max="5892" width="14.86328125" style="414" customWidth="1"/>
    <col min="5893" max="5893" width="14" style="414" customWidth="1"/>
    <col min="5894" max="5896" width="9.1328125" style="414"/>
    <col min="5897" max="5897" width="19" style="414" customWidth="1"/>
    <col min="5898" max="5898" width="23.7265625" style="414" customWidth="1"/>
    <col min="5899" max="6144" width="9.1328125" style="414"/>
    <col min="6145" max="6145" width="56.86328125" style="414" customWidth="1"/>
    <col min="6146" max="6146" width="17" style="414" customWidth="1"/>
    <col min="6147" max="6147" width="14" style="414" customWidth="1"/>
    <col min="6148" max="6148" width="14.86328125" style="414" customWidth="1"/>
    <col min="6149" max="6149" width="14" style="414" customWidth="1"/>
    <col min="6150" max="6152" width="9.1328125" style="414"/>
    <col min="6153" max="6153" width="19" style="414" customWidth="1"/>
    <col min="6154" max="6154" width="23.7265625" style="414" customWidth="1"/>
    <col min="6155" max="6400" width="9.1328125" style="414"/>
    <col min="6401" max="6401" width="56.86328125" style="414" customWidth="1"/>
    <col min="6402" max="6402" width="17" style="414" customWidth="1"/>
    <col min="6403" max="6403" width="14" style="414" customWidth="1"/>
    <col min="6404" max="6404" width="14.86328125" style="414" customWidth="1"/>
    <col min="6405" max="6405" width="14" style="414" customWidth="1"/>
    <col min="6406" max="6408" width="9.1328125" style="414"/>
    <col min="6409" max="6409" width="19" style="414" customWidth="1"/>
    <col min="6410" max="6410" width="23.7265625" style="414" customWidth="1"/>
    <col min="6411" max="6656" width="9.1328125" style="414"/>
    <col min="6657" max="6657" width="56.86328125" style="414" customWidth="1"/>
    <col min="6658" max="6658" width="17" style="414" customWidth="1"/>
    <col min="6659" max="6659" width="14" style="414" customWidth="1"/>
    <col min="6660" max="6660" width="14.86328125" style="414" customWidth="1"/>
    <col min="6661" max="6661" width="14" style="414" customWidth="1"/>
    <col min="6662" max="6664" width="9.1328125" style="414"/>
    <col min="6665" max="6665" width="19" style="414" customWidth="1"/>
    <col min="6666" max="6666" width="23.7265625" style="414" customWidth="1"/>
    <col min="6667" max="6912" width="9.1328125" style="414"/>
    <col min="6913" max="6913" width="56.86328125" style="414" customWidth="1"/>
    <col min="6914" max="6914" width="17" style="414" customWidth="1"/>
    <col min="6915" max="6915" width="14" style="414" customWidth="1"/>
    <col min="6916" max="6916" width="14.86328125" style="414" customWidth="1"/>
    <col min="6917" max="6917" width="14" style="414" customWidth="1"/>
    <col min="6918" max="6920" width="9.1328125" style="414"/>
    <col min="6921" max="6921" width="19" style="414" customWidth="1"/>
    <col min="6922" max="6922" width="23.7265625" style="414" customWidth="1"/>
    <col min="6923" max="7168" width="9.1328125" style="414"/>
    <col min="7169" max="7169" width="56.86328125" style="414" customWidth="1"/>
    <col min="7170" max="7170" width="17" style="414" customWidth="1"/>
    <col min="7171" max="7171" width="14" style="414" customWidth="1"/>
    <col min="7172" max="7172" width="14.86328125" style="414" customWidth="1"/>
    <col min="7173" max="7173" width="14" style="414" customWidth="1"/>
    <col min="7174" max="7176" width="9.1328125" style="414"/>
    <col min="7177" max="7177" width="19" style="414" customWidth="1"/>
    <col min="7178" max="7178" width="23.7265625" style="414" customWidth="1"/>
    <col min="7179" max="7424" width="9.1328125" style="414"/>
    <col min="7425" max="7425" width="56.86328125" style="414" customWidth="1"/>
    <col min="7426" max="7426" width="17" style="414" customWidth="1"/>
    <col min="7427" max="7427" width="14" style="414" customWidth="1"/>
    <col min="7428" max="7428" width="14.86328125" style="414" customWidth="1"/>
    <col min="7429" max="7429" width="14" style="414" customWidth="1"/>
    <col min="7430" max="7432" width="9.1328125" style="414"/>
    <col min="7433" max="7433" width="19" style="414" customWidth="1"/>
    <col min="7434" max="7434" width="23.7265625" style="414" customWidth="1"/>
    <col min="7435" max="7680" width="9.1328125" style="414"/>
    <col min="7681" max="7681" width="56.86328125" style="414" customWidth="1"/>
    <col min="7682" max="7682" width="17" style="414" customWidth="1"/>
    <col min="7683" max="7683" width="14" style="414" customWidth="1"/>
    <col min="7684" max="7684" width="14.86328125" style="414" customWidth="1"/>
    <col min="7685" max="7685" width="14" style="414" customWidth="1"/>
    <col min="7686" max="7688" width="9.1328125" style="414"/>
    <col min="7689" max="7689" width="19" style="414" customWidth="1"/>
    <col min="7690" max="7690" width="23.7265625" style="414" customWidth="1"/>
    <col min="7691" max="7936" width="9.1328125" style="414"/>
    <col min="7937" max="7937" width="56.86328125" style="414" customWidth="1"/>
    <col min="7938" max="7938" width="17" style="414" customWidth="1"/>
    <col min="7939" max="7939" width="14" style="414" customWidth="1"/>
    <col min="7940" max="7940" width="14.86328125" style="414" customWidth="1"/>
    <col min="7941" max="7941" width="14" style="414" customWidth="1"/>
    <col min="7942" max="7944" width="9.1328125" style="414"/>
    <col min="7945" max="7945" width="19" style="414" customWidth="1"/>
    <col min="7946" max="7946" width="23.7265625" style="414" customWidth="1"/>
    <col min="7947" max="8192" width="9.1328125" style="414"/>
    <col min="8193" max="8193" width="56.86328125" style="414" customWidth="1"/>
    <col min="8194" max="8194" width="17" style="414" customWidth="1"/>
    <col min="8195" max="8195" width="14" style="414" customWidth="1"/>
    <col min="8196" max="8196" width="14.86328125" style="414" customWidth="1"/>
    <col min="8197" max="8197" width="14" style="414" customWidth="1"/>
    <col min="8198" max="8200" width="9.1328125" style="414"/>
    <col min="8201" max="8201" width="19" style="414" customWidth="1"/>
    <col min="8202" max="8202" width="23.7265625" style="414" customWidth="1"/>
    <col min="8203" max="8448" width="9.1328125" style="414"/>
    <col min="8449" max="8449" width="56.86328125" style="414" customWidth="1"/>
    <col min="8450" max="8450" width="17" style="414" customWidth="1"/>
    <col min="8451" max="8451" width="14" style="414" customWidth="1"/>
    <col min="8452" max="8452" width="14.86328125" style="414" customWidth="1"/>
    <col min="8453" max="8453" width="14" style="414" customWidth="1"/>
    <col min="8454" max="8456" width="9.1328125" style="414"/>
    <col min="8457" max="8457" width="19" style="414" customWidth="1"/>
    <col min="8458" max="8458" width="23.7265625" style="414" customWidth="1"/>
    <col min="8459" max="8704" width="9.1328125" style="414"/>
    <col min="8705" max="8705" width="56.86328125" style="414" customWidth="1"/>
    <col min="8706" max="8706" width="17" style="414" customWidth="1"/>
    <col min="8707" max="8707" width="14" style="414" customWidth="1"/>
    <col min="8708" max="8708" width="14.86328125" style="414" customWidth="1"/>
    <col min="8709" max="8709" width="14" style="414" customWidth="1"/>
    <col min="8710" max="8712" width="9.1328125" style="414"/>
    <col min="8713" max="8713" width="19" style="414" customWidth="1"/>
    <col min="8714" max="8714" width="23.7265625" style="414" customWidth="1"/>
    <col min="8715" max="8960" width="9.1328125" style="414"/>
    <col min="8961" max="8961" width="56.86328125" style="414" customWidth="1"/>
    <col min="8962" max="8962" width="17" style="414" customWidth="1"/>
    <col min="8963" max="8963" width="14" style="414" customWidth="1"/>
    <col min="8964" max="8964" width="14.86328125" style="414" customWidth="1"/>
    <col min="8965" max="8965" width="14" style="414" customWidth="1"/>
    <col min="8966" max="8968" width="9.1328125" style="414"/>
    <col min="8969" max="8969" width="19" style="414" customWidth="1"/>
    <col min="8970" max="8970" width="23.7265625" style="414" customWidth="1"/>
    <col min="8971" max="9216" width="9.1328125" style="414"/>
    <col min="9217" max="9217" width="56.86328125" style="414" customWidth="1"/>
    <col min="9218" max="9218" width="17" style="414" customWidth="1"/>
    <col min="9219" max="9219" width="14" style="414" customWidth="1"/>
    <col min="9220" max="9220" width="14.86328125" style="414" customWidth="1"/>
    <col min="9221" max="9221" width="14" style="414" customWidth="1"/>
    <col min="9222" max="9224" width="9.1328125" style="414"/>
    <col min="9225" max="9225" width="19" style="414" customWidth="1"/>
    <col min="9226" max="9226" width="23.7265625" style="414" customWidth="1"/>
    <col min="9227" max="9472" width="9.1328125" style="414"/>
    <col min="9473" max="9473" width="56.86328125" style="414" customWidth="1"/>
    <col min="9474" max="9474" width="17" style="414" customWidth="1"/>
    <col min="9475" max="9475" width="14" style="414" customWidth="1"/>
    <col min="9476" max="9476" width="14.86328125" style="414" customWidth="1"/>
    <col min="9477" max="9477" width="14" style="414" customWidth="1"/>
    <col min="9478" max="9480" width="9.1328125" style="414"/>
    <col min="9481" max="9481" width="19" style="414" customWidth="1"/>
    <col min="9482" max="9482" width="23.7265625" style="414" customWidth="1"/>
    <col min="9483" max="9728" width="9.1328125" style="414"/>
    <col min="9729" max="9729" width="56.86328125" style="414" customWidth="1"/>
    <col min="9730" max="9730" width="17" style="414" customWidth="1"/>
    <col min="9731" max="9731" width="14" style="414" customWidth="1"/>
    <col min="9732" max="9732" width="14.86328125" style="414" customWidth="1"/>
    <col min="9733" max="9733" width="14" style="414" customWidth="1"/>
    <col min="9734" max="9736" width="9.1328125" style="414"/>
    <col min="9737" max="9737" width="19" style="414" customWidth="1"/>
    <col min="9738" max="9738" width="23.7265625" style="414" customWidth="1"/>
    <col min="9739" max="9984" width="9.1328125" style="414"/>
    <col min="9985" max="9985" width="56.86328125" style="414" customWidth="1"/>
    <col min="9986" max="9986" width="17" style="414" customWidth="1"/>
    <col min="9987" max="9987" width="14" style="414" customWidth="1"/>
    <col min="9988" max="9988" width="14.86328125" style="414" customWidth="1"/>
    <col min="9989" max="9989" width="14" style="414" customWidth="1"/>
    <col min="9990" max="9992" width="9.1328125" style="414"/>
    <col min="9993" max="9993" width="19" style="414" customWidth="1"/>
    <col min="9994" max="9994" width="23.7265625" style="414" customWidth="1"/>
    <col min="9995" max="10240" width="9.1328125" style="414"/>
    <col min="10241" max="10241" width="56.86328125" style="414" customWidth="1"/>
    <col min="10242" max="10242" width="17" style="414" customWidth="1"/>
    <col min="10243" max="10243" width="14" style="414" customWidth="1"/>
    <col min="10244" max="10244" width="14.86328125" style="414" customWidth="1"/>
    <col min="10245" max="10245" width="14" style="414" customWidth="1"/>
    <col min="10246" max="10248" width="9.1328125" style="414"/>
    <col min="10249" max="10249" width="19" style="414" customWidth="1"/>
    <col min="10250" max="10250" width="23.7265625" style="414" customWidth="1"/>
    <col min="10251" max="10496" width="9.1328125" style="414"/>
    <col min="10497" max="10497" width="56.86328125" style="414" customWidth="1"/>
    <col min="10498" max="10498" width="17" style="414" customWidth="1"/>
    <col min="10499" max="10499" width="14" style="414" customWidth="1"/>
    <col min="10500" max="10500" width="14.86328125" style="414" customWidth="1"/>
    <col min="10501" max="10501" width="14" style="414" customWidth="1"/>
    <col min="10502" max="10504" width="9.1328125" style="414"/>
    <col min="10505" max="10505" width="19" style="414" customWidth="1"/>
    <col min="10506" max="10506" width="23.7265625" style="414" customWidth="1"/>
    <col min="10507" max="10752" width="9.1328125" style="414"/>
    <col min="10753" max="10753" width="56.86328125" style="414" customWidth="1"/>
    <col min="10754" max="10754" width="17" style="414" customWidth="1"/>
    <col min="10755" max="10755" width="14" style="414" customWidth="1"/>
    <col min="10756" max="10756" width="14.86328125" style="414" customWidth="1"/>
    <col min="10757" max="10757" width="14" style="414" customWidth="1"/>
    <col min="10758" max="10760" width="9.1328125" style="414"/>
    <col min="10761" max="10761" width="19" style="414" customWidth="1"/>
    <col min="10762" max="10762" width="23.7265625" style="414" customWidth="1"/>
    <col min="10763" max="11008" width="9.1328125" style="414"/>
    <col min="11009" max="11009" width="56.86328125" style="414" customWidth="1"/>
    <col min="11010" max="11010" width="17" style="414" customWidth="1"/>
    <col min="11011" max="11011" width="14" style="414" customWidth="1"/>
    <col min="11012" max="11012" width="14.86328125" style="414" customWidth="1"/>
    <col min="11013" max="11013" width="14" style="414" customWidth="1"/>
    <col min="11014" max="11016" width="9.1328125" style="414"/>
    <col min="11017" max="11017" width="19" style="414" customWidth="1"/>
    <col min="11018" max="11018" width="23.7265625" style="414" customWidth="1"/>
    <col min="11019" max="11264" width="9.1328125" style="414"/>
    <col min="11265" max="11265" width="56.86328125" style="414" customWidth="1"/>
    <col min="11266" max="11266" width="17" style="414" customWidth="1"/>
    <col min="11267" max="11267" width="14" style="414" customWidth="1"/>
    <col min="11268" max="11268" width="14.86328125" style="414" customWidth="1"/>
    <col min="11269" max="11269" width="14" style="414" customWidth="1"/>
    <col min="11270" max="11272" width="9.1328125" style="414"/>
    <col min="11273" max="11273" width="19" style="414" customWidth="1"/>
    <col min="11274" max="11274" width="23.7265625" style="414" customWidth="1"/>
    <col min="11275" max="11520" width="9.1328125" style="414"/>
    <col min="11521" max="11521" width="56.86328125" style="414" customWidth="1"/>
    <col min="11522" max="11522" width="17" style="414" customWidth="1"/>
    <col min="11523" max="11523" width="14" style="414" customWidth="1"/>
    <col min="11524" max="11524" width="14.86328125" style="414" customWidth="1"/>
    <col min="11525" max="11525" width="14" style="414" customWidth="1"/>
    <col min="11526" max="11528" width="9.1328125" style="414"/>
    <col min="11529" max="11529" width="19" style="414" customWidth="1"/>
    <col min="11530" max="11530" width="23.7265625" style="414" customWidth="1"/>
    <col min="11531" max="11776" width="9.1328125" style="414"/>
    <col min="11777" max="11777" width="56.86328125" style="414" customWidth="1"/>
    <col min="11778" max="11778" width="17" style="414" customWidth="1"/>
    <col min="11779" max="11779" width="14" style="414" customWidth="1"/>
    <col min="11780" max="11780" width="14.86328125" style="414" customWidth="1"/>
    <col min="11781" max="11781" width="14" style="414" customWidth="1"/>
    <col min="11782" max="11784" width="9.1328125" style="414"/>
    <col min="11785" max="11785" width="19" style="414" customWidth="1"/>
    <col min="11786" max="11786" width="23.7265625" style="414" customWidth="1"/>
    <col min="11787" max="12032" width="9.1328125" style="414"/>
    <col min="12033" max="12033" width="56.86328125" style="414" customWidth="1"/>
    <col min="12034" max="12034" width="17" style="414" customWidth="1"/>
    <col min="12035" max="12035" width="14" style="414" customWidth="1"/>
    <col min="12036" max="12036" width="14.86328125" style="414" customWidth="1"/>
    <col min="12037" max="12037" width="14" style="414" customWidth="1"/>
    <col min="12038" max="12040" width="9.1328125" style="414"/>
    <col min="12041" max="12041" width="19" style="414" customWidth="1"/>
    <col min="12042" max="12042" width="23.7265625" style="414" customWidth="1"/>
    <col min="12043" max="12288" width="9.1328125" style="414"/>
    <col min="12289" max="12289" width="56.86328125" style="414" customWidth="1"/>
    <col min="12290" max="12290" width="17" style="414" customWidth="1"/>
    <col min="12291" max="12291" width="14" style="414" customWidth="1"/>
    <col min="12292" max="12292" width="14.86328125" style="414" customWidth="1"/>
    <col min="12293" max="12293" width="14" style="414" customWidth="1"/>
    <col min="12294" max="12296" width="9.1328125" style="414"/>
    <col min="12297" max="12297" width="19" style="414" customWidth="1"/>
    <col min="12298" max="12298" width="23.7265625" style="414" customWidth="1"/>
    <col min="12299" max="12544" width="9.1328125" style="414"/>
    <col min="12545" max="12545" width="56.86328125" style="414" customWidth="1"/>
    <col min="12546" max="12546" width="17" style="414" customWidth="1"/>
    <col min="12547" max="12547" width="14" style="414" customWidth="1"/>
    <col min="12548" max="12548" width="14.86328125" style="414" customWidth="1"/>
    <col min="12549" max="12549" width="14" style="414" customWidth="1"/>
    <col min="12550" max="12552" width="9.1328125" style="414"/>
    <col min="12553" max="12553" width="19" style="414" customWidth="1"/>
    <col min="12554" max="12554" width="23.7265625" style="414" customWidth="1"/>
    <col min="12555" max="12800" width="9.1328125" style="414"/>
    <col min="12801" max="12801" width="56.86328125" style="414" customWidth="1"/>
    <col min="12802" max="12802" width="17" style="414" customWidth="1"/>
    <col min="12803" max="12803" width="14" style="414" customWidth="1"/>
    <col min="12804" max="12804" width="14.86328125" style="414" customWidth="1"/>
    <col min="12805" max="12805" width="14" style="414" customWidth="1"/>
    <col min="12806" max="12808" width="9.1328125" style="414"/>
    <col min="12809" max="12809" width="19" style="414" customWidth="1"/>
    <col min="12810" max="12810" width="23.7265625" style="414" customWidth="1"/>
    <col min="12811" max="13056" width="9.1328125" style="414"/>
    <col min="13057" max="13057" width="56.86328125" style="414" customWidth="1"/>
    <col min="13058" max="13058" width="17" style="414" customWidth="1"/>
    <col min="13059" max="13059" width="14" style="414" customWidth="1"/>
    <col min="13060" max="13060" width="14.86328125" style="414" customWidth="1"/>
    <col min="13061" max="13061" width="14" style="414" customWidth="1"/>
    <col min="13062" max="13064" width="9.1328125" style="414"/>
    <col min="13065" max="13065" width="19" style="414" customWidth="1"/>
    <col min="13066" max="13066" width="23.7265625" style="414" customWidth="1"/>
    <col min="13067" max="13312" width="9.1328125" style="414"/>
    <col min="13313" max="13313" width="56.86328125" style="414" customWidth="1"/>
    <col min="13314" max="13314" width="17" style="414" customWidth="1"/>
    <col min="13315" max="13315" width="14" style="414" customWidth="1"/>
    <col min="13316" max="13316" width="14.86328125" style="414" customWidth="1"/>
    <col min="13317" max="13317" width="14" style="414" customWidth="1"/>
    <col min="13318" max="13320" width="9.1328125" style="414"/>
    <col min="13321" max="13321" width="19" style="414" customWidth="1"/>
    <col min="13322" max="13322" width="23.7265625" style="414" customWidth="1"/>
    <col min="13323" max="13568" width="9.1328125" style="414"/>
    <col min="13569" max="13569" width="56.86328125" style="414" customWidth="1"/>
    <col min="13570" max="13570" width="17" style="414" customWidth="1"/>
    <col min="13571" max="13571" width="14" style="414" customWidth="1"/>
    <col min="13572" max="13572" width="14.86328125" style="414" customWidth="1"/>
    <col min="13573" max="13573" width="14" style="414" customWidth="1"/>
    <col min="13574" max="13576" width="9.1328125" style="414"/>
    <col min="13577" max="13577" width="19" style="414" customWidth="1"/>
    <col min="13578" max="13578" width="23.7265625" style="414" customWidth="1"/>
    <col min="13579" max="13824" width="9.1328125" style="414"/>
    <col min="13825" max="13825" width="56.86328125" style="414" customWidth="1"/>
    <col min="13826" max="13826" width="17" style="414" customWidth="1"/>
    <col min="13827" max="13827" width="14" style="414" customWidth="1"/>
    <col min="13828" max="13828" width="14.86328125" style="414" customWidth="1"/>
    <col min="13829" max="13829" width="14" style="414" customWidth="1"/>
    <col min="13830" max="13832" width="9.1328125" style="414"/>
    <col min="13833" max="13833" width="19" style="414" customWidth="1"/>
    <col min="13834" max="13834" width="23.7265625" style="414" customWidth="1"/>
    <col min="13835" max="14080" width="9.1328125" style="414"/>
    <col min="14081" max="14081" width="56.86328125" style="414" customWidth="1"/>
    <col min="14082" max="14082" width="17" style="414" customWidth="1"/>
    <col min="14083" max="14083" width="14" style="414" customWidth="1"/>
    <col min="14084" max="14084" width="14.86328125" style="414" customWidth="1"/>
    <col min="14085" max="14085" width="14" style="414" customWidth="1"/>
    <col min="14086" max="14088" width="9.1328125" style="414"/>
    <col min="14089" max="14089" width="19" style="414" customWidth="1"/>
    <col min="14090" max="14090" width="23.7265625" style="414" customWidth="1"/>
    <col min="14091" max="14336" width="9.1328125" style="414"/>
    <col min="14337" max="14337" width="56.86328125" style="414" customWidth="1"/>
    <col min="14338" max="14338" width="17" style="414" customWidth="1"/>
    <col min="14339" max="14339" width="14" style="414" customWidth="1"/>
    <col min="14340" max="14340" width="14.86328125" style="414" customWidth="1"/>
    <col min="14341" max="14341" width="14" style="414" customWidth="1"/>
    <col min="14342" max="14344" width="9.1328125" style="414"/>
    <col min="14345" max="14345" width="19" style="414" customWidth="1"/>
    <col min="14346" max="14346" width="23.7265625" style="414" customWidth="1"/>
    <col min="14347" max="14592" width="9.1328125" style="414"/>
    <col min="14593" max="14593" width="56.86328125" style="414" customWidth="1"/>
    <col min="14594" max="14594" width="17" style="414" customWidth="1"/>
    <col min="14595" max="14595" width="14" style="414" customWidth="1"/>
    <col min="14596" max="14596" width="14.86328125" style="414" customWidth="1"/>
    <col min="14597" max="14597" width="14" style="414" customWidth="1"/>
    <col min="14598" max="14600" width="9.1328125" style="414"/>
    <col min="14601" max="14601" width="19" style="414" customWidth="1"/>
    <col min="14602" max="14602" width="23.7265625" style="414" customWidth="1"/>
    <col min="14603" max="14848" width="9.1328125" style="414"/>
    <col min="14849" max="14849" width="56.86328125" style="414" customWidth="1"/>
    <col min="14850" max="14850" width="17" style="414" customWidth="1"/>
    <col min="14851" max="14851" width="14" style="414" customWidth="1"/>
    <col min="14852" max="14852" width="14.86328125" style="414" customWidth="1"/>
    <col min="14853" max="14853" width="14" style="414" customWidth="1"/>
    <col min="14854" max="14856" width="9.1328125" style="414"/>
    <col min="14857" max="14857" width="19" style="414" customWidth="1"/>
    <col min="14858" max="14858" width="23.7265625" style="414" customWidth="1"/>
    <col min="14859" max="15104" width="9.1328125" style="414"/>
    <col min="15105" max="15105" width="56.86328125" style="414" customWidth="1"/>
    <col min="15106" max="15106" width="17" style="414" customWidth="1"/>
    <col min="15107" max="15107" width="14" style="414" customWidth="1"/>
    <col min="15108" max="15108" width="14.86328125" style="414" customWidth="1"/>
    <col min="15109" max="15109" width="14" style="414" customWidth="1"/>
    <col min="15110" max="15112" width="9.1328125" style="414"/>
    <col min="15113" max="15113" width="19" style="414" customWidth="1"/>
    <col min="15114" max="15114" width="23.7265625" style="414" customWidth="1"/>
    <col min="15115" max="15360" width="9.1328125" style="414"/>
    <col min="15361" max="15361" width="56.86328125" style="414" customWidth="1"/>
    <col min="15362" max="15362" width="17" style="414" customWidth="1"/>
    <col min="15363" max="15363" width="14" style="414" customWidth="1"/>
    <col min="15364" max="15364" width="14.86328125" style="414" customWidth="1"/>
    <col min="15365" max="15365" width="14" style="414" customWidth="1"/>
    <col min="15366" max="15368" width="9.1328125" style="414"/>
    <col min="15369" max="15369" width="19" style="414" customWidth="1"/>
    <col min="15370" max="15370" width="23.7265625" style="414" customWidth="1"/>
    <col min="15371" max="15616" width="9.1328125" style="414"/>
    <col min="15617" max="15617" width="56.86328125" style="414" customWidth="1"/>
    <col min="15618" max="15618" width="17" style="414" customWidth="1"/>
    <col min="15619" max="15619" width="14" style="414" customWidth="1"/>
    <col min="15620" max="15620" width="14.86328125" style="414" customWidth="1"/>
    <col min="15621" max="15621" width="14" style="414" customWidth="1"/>
    <col min="15622" max="15624" width="9.1328125" style="414"/>
    <col min="15625" max="15625" width="19" style="414" customWidth="1"/>
    <col min="15626" max="15626" width="23.7265625" style="414" customWidth="1"/>
    <col min="15627" max="15872" width="9.1328125" style="414"/>
    <col min="15873" max="15873" width="56.86328125" style="414" customWidth="1"/>
    <col min="15874" max="15874" width="17" style="414" customWidth="1"/>
    <col min="15875" max="15875" width="14" style="414" customWidth="1"/>
    <col min="15876" max="15876" width="14.86328125" style="414" customWidth="1"/>
    <col min="15877" max="15877" width="14" style="414" customWidth="1"/>
    <col min="15878" max="15880" width="9.1328125" style="414"/>
    <col min="15881" max="15881" width="19" style="414" customWidth="1"/>
    <col min="15882" max="15882" width="23.7265625" style="414" customWidth="1"/>
    <col min="15883" max="16128" width="9.1328125" style="414"/>
    <col min="16129" max="16129" width="56.86328125" style="414" customWidth="1"/>
    <col min="16130" max="16130" width="17" style="414" customWidth="1"/>
    <col min="16131" max="16131" width="14" style="414" customWidth="1"/>
    <col min="16132" max="16132" width="14.86328125" style="414" customWidth="1"/>
    <col min="16133" max="16133" width="14" style="414" customWidth="1"/>
    <col min="16134" max="16136" width="9.1328125" style="414"/>
    <col min="16137" max="16137" width="19" style="414" customWidth="1"/>
    <col min="16138" max="16138" width="23.7265625" style="414" customWidth="1"/>
    <col min="16139" max="16384" width="9.1328125" style="414"/>
  </cols>
  <sheetData>
    <row r="1" spans="1:10" x14ac:dyDescent="0.6">
      <c r="A1" s="413" t="s">
        <v>264</v>
      </c>
    </row>
    <row r="2" spans="1:10" x14ac:dyDescent="0.6">
      <c r="A2" s="413" t="s">
        <v>265</v>
      </c>
    </row>
    <row r="3" spans="1:10" x14ac:dyDescent="0.6">
      <c r="A3" s="413" t="s">
        <v>266</v>
      </c>
    </row>
    <row r="4" spans="1:10" x14ac:dyDescent="0.6">
      <c r="A4" s="413" t="s">
        <v>267</v>
      </c>
    </row>
    <row r="5" spans="1:10" x14ac:dyDescent="0.6">
      <c r="B5" s="415" t="s">
        <v>268</v>
      </c>
      <c r="C5" s="415" t="s">
        <v>269</v>
      </c>
      <c r="D5" s="415" t="s">
        <v>270</v>
      </c>
      <c r="E5" s="415" t="s">
        <v>271</v>
      </c>
      <c r="H5" s="415"/>
      <c r="I5" s="415"/>
      <c r="J5" s="415"/>
    </row>
    <row r="6" spans="1:10" x14ac:dyDescent="0.6">
      <c r="A6" s="414" t="s">
        <v>26</v>
      </c>
      <c r="B6" s="416">
        <v>3365.09</v>
      </c>
      <c r="C6" s="416">
        <v>3545.16</v>
      </c>
      <c r="D6" s="416">
        <v>3545.16</v>
      </c>
      <c r="E6" s="416">
        <v>3545.16</v>
      </c>
      <c r="H6" s="417"/>
      <c r="I6" s="418"/>
      <c r="J6" s="418"/>
    </row>
    <row r="7" spans="1:10" x14ac:dyDescent="0.6">
      <c r="A7" s="414" t="s">
        <v>27</v>
      </c>
      <c r="B7" s="419">
        <v>3315</v>
      </c>
      <c r="C7" s="420">
        <v>3548</v>
      </c>
      <c r="D7" s="420">
        <v>3548</v>
      </c>
      <c r="E7" s="420">
        <v>3548</v>
      </c>
      <c r="H7" s="417"/>
      <c r="I7" s="418"/>
      <c r="J7" s="418"/>
    </row>
    <row r="8" spans="1:10" x14ac:dyDescent="0.6">
      <c r="A8" s="414" t="s">
        <v>272</v>
      </c>
      <c r="B8" s="419">
        <v>1494</v>
      </c>
      <c r="C8" s="420">
        <v>1610</v>
      </c>
      <c r="D8" s="420">
        <v>1610</v>
      </c>
      <c r="E8" s="420">
        <v>1610</v>
      </c>
      <c r="H8" s="417"/>
      <c r="I8" s="418"/>
      <c r="J8" s="418"/>
    </row>
    <row r="9" spans="1:10" x14ac:dyDescent="0.6">
      <c r="A9" s="414" t="s">
        <v>273</v>
      </c>
      <c r="B9" s="421">
        <v>0.45069999999999999</v>
      </c>
      <c r="C9" s="421">
        <v>0.45377677564825253</v>
      </c>
      <c r="D9" s="421">
        <v>0.45377677564825253</v>
      </c>
      <c r="E9" s="421">
        <v>0.45377677564825253</v>
      </c>
      <c r="H9" s="417"/>
      <c r="I9" s="418"/>
      <c r="J9" s="418"/>
    </row>
    <row r="10" spans="1:10" x14ac:dyDescent="0.6">
      <c r="H10" s="417"/>
      <c r="I10" s="418"/>
      <c r="J10" s="418"/>
    </row>
    <row r="11" spans="1:10" x14ac:dyDescent="0.6">
      <c r="A11" s="414" t="s">
        <v>274</v>
      </c>
      <c r="B11" s="422">
        <v>35462982</v>
      </c>
      <c r="C11" s="422">
        <v>38707297.030000001</v>
      </c>
      <c r="D11" s="422">
        <v>40706609.030000001</v>
      </c>
      <c r="E11" s="422">
        <v>42350926.030000001</v>
      </c>
      <c r="H11" s="417"/>
      <c r="I11" s="418"/>
      <c r="J11" s="418"/>
    </row>
    <row r="12" spans="1:10" x14ac:dyDescent="0.6">
      <c r="H12" s="417"/>
      <c r="I12" s="418"/>
      <c r="J12" s="418"/>
    </row>
    <row r="13" spans="1:10" x14ac:dyDescent="0.6">
      <c r="A13" s="414" t="s">
        <v>275</v>
      </c>
      <c r="C13" s="416">
        <v>143</v>
      </c>
      <c r="D13" s="416">
        <v>143</v>
      </c>
      <c r="E13" s="416">
        <v>143</v>
      </c>
      <c r="H13" s="417"/>
      <c r="I13" s="418"/>
      <c r="J13" s="418"/>
    </row>
    <row r="14" spans="1:10" x14ac:dyDescent="0.6">
      <c r="A14" s="414" t="s">
        <v>276</v>
      </c>
      <c r="C14" s="416">
        <v>52</v>
      </c>
      <c r="D14" s="416">
        <v>52</v>
      </c>
      <c r="E14" s="416">
        <v>52</v>
      </c>
      <c r="H14" s="417"/>
      <c r="I14" s="418"/>
      <c r="J14" s="418"/>
    </row>
    <row r="15" spans="1:10" x14ac:dyDescent="0.6">
      <c r="A15" s="414" t="s">
        <v>277</v>
      </c>
      <c r="C15" s="416">
        <v>58</v>
      </c>
      <c r="D15" s="416">
        <v>58</v>
      </c>
      <c r="E15" s="416">
        <v>58</v>
      </c>
      <c r="H15" s="417"/>
    </row>
    <row r="16" spans="1:10" x14ac:dyDescent="0.6">
      <c r="C16" s="416"/>
      <c r="D16" s="416"/>
      <c r="E16" s="416"/>
      <c r="H16" s="417"/>
    </row>
    <row r="17" spans="1:5" x14ac:dyDescent="0.6">
      <c r="A17" s="414" t="s">
        <v>278</v>
      </c>
      <c r="C17" s="416">
        <v>42</v>
      </c>
      <c r="D17" s="416">
        <v>42</v>
      </c>
      <c r="E17" s="416">
        <v>42</v>
      </c>
    </row>
    <row r="18" spans="1:5" x14ac:dyDescent="0.6">
      <c r="A18" s="414" t="s">
        <v>279</v>
      </c>
      <c r="C18" s="416">
        <v>13</v>
      </c>
      <c r="D18" s="416">
        <v>13</v>
      </c>
      <c r="E18" s="416">
        <v>13</v>
      </c>
    </row>
    <row r="19" spans="1:5" x14ac:dyDescent="0.6">
      <c r="C19" s="423"/>
      <c r="D19" s="423"/>
      <c r="E19" s="423"/>
    </row>
    <row r="20" spans="1:5" x14ac:dyDescent="0.6">
      <c r="A20" s="414" t="s">
        <v>280</v>
      </c>
      <c r="C20" s="422">
        <v>60207.780909090907</v>
      </c>
      <c r="D20" s="422">
        <v>60207.780909090907</v>
      </c>
      <c r="E20" s="422">
        <v>60207.780909090907</v>
      </c>
    </row>
    <row r="21" spans="1:5" x14ac:dyDescent="0.6">
      <c r="A21" s="414" t="s">
        <v>281</v>
      </c>
      <c r="C21" s="422">
        <v>89626.211538461532</v>
      </c>
      <c r="D21" s="422">
        <v>89626.211538461532</v>
      </c>
      <c r="E21" s="422">
        <v>89626.211538461532</v>
      </c>
    </row>
    <row r="22" spans="1:5" x14ac:dyDescent="0.6">
      <c r="A22" s="414" t="s">
        <v>282</v>
      </c>
      <c r="C22" s="422">
        <v>115000.72413793103</v>
      </c>
      <c r="D22" s="422">
        <v>115000.72413793103</v>
      </c>
      <c r="E22" s="422">
        <v>115000.72413793103</v>
      </c>
    </row>
    <row r="23" spans="1:5" x14ac:dyDescent="0.6">
      <c r="A23" s="424" t="s">
        <v>283</v>
      </c>
      <c r="C23" s="422">
        <v>167000</v>
      </c>
      <c r="D23" s="422">
        <v>167000</v>
      </c>
      <c r="E23" s="422">
        <v>167000</v>
      </c>
    </row>
    <row r="24" spans="1:5" x14ac:dyDescent="0.6">
      <c r="A24" s="424"/>
      <c r="C24" s="422"/>
      <c r="D24" s="422"/>
      <c r="E24" s="422"/>
    </row>
    <row r="25" spans="1:5" x14ac:dyDescent="0.6">
      <c r="A25" s="414" t="s">
        <v>284</v>
      </c>
      <c r="C25" s="422">
        <v>51187.571428571428</v>
      </c>
      <c r="D25" s="422">
        <v>51187.571428571428</v>
      </c>
      <c r="E25" s="422">
        <v>51187.571428571428</v>
      </c>
    </row>
    <row r="26" spans="1:5" x14ac:dyDescent="0.6">
      <c r="A26" s="414" t="s">
        <v>285</v>
      </c>
      <c r="C26" s="422">
        <v>106317.38461538461</v>
      </c>
      <c r="D26" s="422">
        <v>106317.38461538461</v>
      </c>
      <c r="E26" s="422">
        <v>106317.38461538461</v>
      </c>
    </row>
    <row r="27" spans="1:5" x14ac:dyDescent="0.6">
      <c r="A27" s="424" t="s">
        <v>286</v>
      </c>
      <c r="C27" s="422">
        <v>0</v>
      </c>
      <c r="D27" s="422">
        <v>0</v>
      </c>
      <c r="E27" s="422">
        <v>0</v>
      </c>
    </row>
    <row r="28" spans="1:5" x14ac:dyDescent="0.6">
      <c r="C28" s="422"/>
      <c r="D28" s="422"/>
      <c r="E28" s="422"/>
    </row>
    <row r="29" spans="1:5" x14ac:dyDescent="0.6">
      <c r="A29" s="424" t="s">
        <v>287</v>
      </c>
      <c r="C29" s="422">
        <v>11260.234901185771</v>
      </c>
      <c r="D29" s="422">
        <v>11260.234901185771</v>
      </c>
      <c r="E29" s="422">
        <v>11260.234901185771</v>
      </c>
    </row>
    <row r="30" spans="1:5" x14ac:dyDescent="0.6">
      <c r="A30" s="414" t="s">
        <v>288</v>
      </c>
      <c r="C30" s="422">
        <v>8628.7999999999993</v>
      </c>
      <c r="D30" s="422">
        <v>8628.7999999999993</v>
      </c>
      <c r="E30" s="422">
        <v>8628.7999999999993</v>
      </c>
    </row>
    <row r="31" spans="1:5" x14ac:dyDescent="0.6">
      <c r="C31" s="422"/>
      <c r="D31" s="422"/>
      <c r="E31" s="422"/>
    </row>
    <row r="32" spans="1:5" x14ac:dyDescent="0.6">
      <c r="A32" s="414" t="s">
        <v>289</v>
      </c>
      <c r="C32" s="425">
        <v>0.191</v>
      </c>
      <c r="D32" s="425">
        <v>0.191</v>
      </c>
      <c r="E32" s="425">
        <v>0.191</v>
      </c>
    </row>
    <row r="33" spans="1:5" x14ac:dyDescent="0.6">
      <c r="A33" s="414" t="s">
        <v>290</v>
      </c>
      <c r="C33" s="425">
        <v>0</v>
      </c>
      <c r="D33" s="425">
        <v>0</v>
      </c>
      <c r="E33" s="425">
        <v>0</v>
      </c>
    </row>
    <row r="34" spans="1:5" x14ac:dyDescent="0.6">
      <c r="A34" s="414" t="s">
        <v>291</v>
      </c>
      <c r="B34" s="426"/>
      <c r="C34" s="418">
        <v>15053.757588932805</v>
      </c>
      <c r="D34" s="418">
        <v>15053.757588932805</v>
      </c>
      <c r="E34" s="418">
        <v>15053.757588932805</v>
      </c>
    </row>
    <row r="35" spans="1:5" x14ac:dyDescent="0.6">
      <c r="A35" s="414" t="s">
        <v>292</v>
      </c>
      <c r="B35" s="426"/>
      <c r="C35" s="418">
        <v>8628.7999999999993</v>
      </c>
      <c r="D35" s="418">
        <v>8628.7999999999993</v>
      </c>
      <c r="E35" s="418">
        <v>8628.7999999999993</v>
      </c>
    </row>
    <row r="36" spans="1:5" x14ac:dyDescent="0.6">
      <c r="C36" s="426"/>
      <c r="D36" s="426"/>
      <c r="E36" s="426"/>
    </row>
    <row r="37" spans="1:5" x14ac:dyDescent="0.6">
      <c r="A37" s="427" t="s">
        <v>293</v>
      </c>
      <c r="C37" s="428">
        <v>6.2E-2</v>
      </c>
      <c r="D37" s="428">
        <v>6.2E-2</v>
      </c>
      <c r="E37" s="428">
        <v>6.2E-2</v>
      </c>
    </row>
    <row r="38" spans="1:5" x14ac:dyDescent="0.6">
      <c r="A38" s="414" t="s">
        <v>294</v>
      </c>
      <c r="C38" s="429">
        <v>1.4500000000000001E-2</v>
      </c>
      <c r="D38" s="429">
        <v>1.4500000000000001E-2</v>
      </c>
      <c r="E38" s="429">
        <v>1.4500000000000001E-2</v>
      </c>
    </row>
    <row r="39" spans="1:5" x14ac:dyDescent="0.6">
      <c r="A39" s="414" t="s">
        <v>295</v>
      </c>
      <c r="C39" s="430">
        <v>6.0000000000000001E-3</v>
      </c>
      <c r="D39" s="430">
        <v>6.0000000000000001E-3</v>
      </c>
      <c r="E39" s="430">
        <v>6.0000000000000001E-3</v>
      </c>
    </row>
    <row r="40" spans="1:5" x14ac:dyDescent="0.6">
      <c r="A40" s="414" t="s">
        <v>296</v>
      </c>
      <c r="C40" s="430">
        <v>2.1000000000000001E-2</v>
      </c>
      <c r="D40" s="430">
        <v>2.1000000000000001E-2</v>
      </c>
      <c r="E40" s="430">
        <v>2.1000000000000001E-2</v>
      </c>
    </row>
    <row r="41" spans="1:5" x14ac:dyDescent="0.6">
      <c r="C41" s="426"/>
      <c r="D41" s="426"/>
      <c r="E41" s="426"/>
    </row>
    <row r="42" spans="1:5" x14ac:dyDescent="0.6">
      <c r="A42" s="414" t="s">
        <v>297</v>
      </c>
      <c r="B42" s="418"/>
      <c r="C42" s="418"/>
      <c r="D42" s="418"/>
      <c r="E42" s="418"/>
    </row>
    <row r="43" spans="1:5" x14ac:dyDescent="0.6">
      <c r="A43" s="414" t="s">
        <v>298</v>
      </c>
      <c r="B43" s="418">
        <v>2438404.6899999976</v>
      </c>
      <c r="C43" s="418">
        <v>2438404.6899999976</v>
      </c>
      <c r="D43" s="418">
        <v>0</v>
      </c>
      <c r="E43" s="418">
        <v>0</v>
      </c>
    </row>
    <row r="44" spans="1:5" x14ac:dyDescent="0.6">
      <c r="A44" s="414" t="s">
        <v>299</v>
      </c>
      <c r="B44" s="418">
        <v>0</v>
      </c>
      <c r="C44" s="418">
        <v>412526</v>
      </c>
      <c r="D44" s="418">
        <v>0</v>
      </c>
      <c r="E44" s="418">
        <v>0</v>
      </c>
    </row>
    <row r="45" spans="1:5" x14ac:dyDescent="0.6">
      <c r="A45" s="414" t="s">
        <v>300</v>
      </c>
      <c r="B45" s="418">
        <v>0</v>
      </c>
      <c r="C45" s="431">
        <v>2850930.6899999976</v>
      </c>
      <c r="D45" s="418">
        <v>0</v>
      </c>
      <c r="E45" s="418">
        <v>0</v>
      </c>
    </row>
    <row r="46" spans="1:5" x14ac:dyDescent="0.6">
      <c r="A46" s="414" t="s">
        <v>301</v>
      </c>
      <c r="B46" s="418">
        <v>0</v>
      </c>
      <c r="C46" s="431">
        <v>0</v>
      </c>
      <c r="D46" s="418">
        <v>0</v>
      </c>
      <c r="E46" s="418">
        <v>0</v>
      </c>
    </row>
    <row r="47" spans="1:5" x14ac:dyDescent="0.6">
      <c r="A47" s="414" t="s">
        <v>302</v>
      </c>
      <c r="B47" s="418">
        <v>0</v>
      </c>
      <c r="C47" s="418">
        <v>0</v>
      </c>
      <c r="D47" s="418">
        <v>0</v>
      </c>
      <c r="E47" s="418">
        <v>0</v>
      </c>
    </row>
    <row r="48" spans="1:5" x14ac:dyDescent="0.6">
      <c r="A48" s="414" t="s">
        <v>303</v>
      </c>
      <c r="B48" s="418">
        <v>0</v>
      </c>
      <c r="C48" s="431">
        <v>2850930.6899999976</v>
      </c>
      <c r="D48" s="418">
        <v>3332112.3399999961</v>
      </c>
      <c r="E48" s="418">
        <v>5401132.3999999985</v>
      </c>
    </row>
    <row r="49" spans="1:5" x14ac:dyDescent="0.6">
      <c r="A49" s="414" t="s">
        <v>304</v>
      </c>
      <c r="B49" s="418">
        <v>2760359.3099999949</v>
      </c>
      <c r="C49" s="431">
        <v>3332112.3399999961</v>
      </c>
      <c r="D49" s="418">
        <v>5401132.3999999985</v>
      </c>
      <c r="E49" s="418">
        <v>9074183.0099999979</v>
      </c>
    </row>
    <row r="50" spans="1:5" x14ac:dyDescent="0.6">
      <c r="B50" s="418"/>
      <c r="C50" s="431"/>
      <c r="D50" s="418"/>
      <c r="E50" s="418"/>
    </row>
    <row r="51" spans="1:5" x14ac:dyDescent="0.6">
      <c r="A51" s="414" t="s">
        <v>305</v>
      </c>
      <c r="B51" s="418">
        <v>0</v>
      </c>
      <c r="C51" s="431">
        <v>0</v>
      </c>
      <c r="D51" s="418">
        <v>0</v>
      </c>
      <c r="E51" s="418">
        <v>0</v>
      </c>
    </row>
    <row r="52" spans="1:5" x14ac:dyDescent="0.6">
      <c r="A52" s="414" t="s">
        <v>306</v>
      </c>
      <c r="B52" s="418">
        <v>0</v>
      </c>
      <c r="C52" s="418">
        <v>0</v>
      </c>
      <c r="D52" s="418">
        <v>0</v>
      </c>
      <c r="E52" s="418">
        <v>0</v>
      </c>
    </row>
    <row r="53" spans="1:5" x14ac:dyDescent="0.6">
      <c r="A53" s="432" t="s">
        <v>307</v>
      </c>
      <c r="B53" s="433">
        <v>0</v>
      </c>
      <c r="C53" s="418">
        <v>0</v>
      </c>
      <c r="D53" s="418">
        <v>0</v>
      </c>
      <c r="E53" s="418">
        <v>0</v>
      </c>
    </row>
    <row r="54" spans="1:5" x14ac:dyDescent="0.6">
      <c r="A54" s="432" t="s">
        <v>308</v>
      </c>
      <c r="B54" s="433">
        <v>0</v>
      </c>
      <c r="C54" s="418">
        <v>0</v>
      </c>
      <c r="D54" s="418">
        <v>0</v>
      </c>
      <c r="E54" s="418">
        <v>0</v>
      </c>
    </row>
    <row r="55" spans="1:5" x14ac:dyDescent="0.6">
      <c r="A55" s="432" t="s">
        <v>309</v>
      </c>
      <c r="B55" s="433">
        <v>0</v>
      </c>
      <c r="C55" s="418">
        <v>0</v>
      </c>
      <c r="D55" s="418">
        <v>0</v>
      </c>
      <c r="E55" s="418">
        <v>0</v>
      </c>
    </row>
    <row r="56" spans="1:5" x14ac:dyDescent="0.6">
      <c r="A56" s="432" t="s">
        <v>310</v>
      </c>
      <c r="B56" s="433">
        <v>0</v>
      </c>
      <c r="C56" s="418">
        <v>0</v>
      </c>
      <c r="D56" s="418">
        <v>0</v>
      </c>
      <c r="E56" s="418">
        <v>0</v>
      </c>
    </row>
    <row r="57" spans="1:5" x14ac:dyDescent="0.6">
      <c r="A57" s="432" t="s">
        <v>311</v>
      </c>
      <c r="B57" s="433">
        <v>0</v>
      </c>
      <c r="C57" s="418">
        <v>0</v>
      </c>
      <c r="D57" s="418">
        <v>0</v>
      </c>
      <c r="E57" s="418">
        <v>0</v>
      </c>
    </row>
    <row r="58" spans="1:5" x14ac:dyDescent="0.6">
      <c r="A58" s="432" t="s">
        <v>312</v>
      </c>
      <c r="B58" s="433">
        <v>0</v>
      </c>
      <c r="C58" s="418">
        <v>0</v>
      </c>
      <c r="D58" s="418">
        <v>0</v>
      </c>
      <c r="E58" s="418">
        <v>0</v>
      </c>
    </row>
    <row r="59" spans="1:5" x14ac:dyDescent="0.6">
      <c r="A59" s="432" t="s">
        <v>313</v>
      </c>
      <c r="B59" s="433">
        <v>2760359.3099999949</v>
      </c>
      <c r="C59" s="418">
        <v>3332112.3399999961</v>
      </c>
      <c r="D59" s="418">
        <v>5401132.3999999985</v>
      </c>
      <c r="E59" s="418">
        <v>9074183.0099999979</v>
      </c>
    </row>
    <row r="60" spans="1:5" x14ac:dyDescent="0.6">
      <c r="A60" s="432"/>
      <c r="B60" s="433"/>
      <c r="C60" s="418"/>
      <c r="D60" s="418"/>
      <c r="E60" s="418"/>
    </row>
    <row r="61" spans="1:5" x14ac:dyDescent="0.6">
      <c r="A61" s="432" t="s">
        <v>314</v>
      </c>
      <c r="B61" s="433"/>
      <c r="C61" s="418"/>
      <c r="D61" s="418"/>
      <c r="E61" s="418"/>
    </row>
    <row r="62" spans="1:5" x14ac:dyDescent="0.6">
      <c r="A62" s="414" t="s">
        <v>298</v>
      </c>
      <c r="B62" s="418">
        <v>-1</v>
      </c>
      <c r="C62" s="418">
        <v>-1</v>
      </c>
      <c r="D62" s="418">
        <v>0</v>
      </c>
      <c r="E62" s="418">
        <v>0</v>
      </c>
    </row>
    <row r="63" spans="1:5" x14ac:dyDescent="0.6">
      <c r="A63" s="414" t="s">
        <v>299</v>
      </c>
      <c r="B63" s="418">
        <v>0</v>
      </c>
      <c r="C63" s="418">
        <v>1</v>
      </c>
      <c r="D63" s="418">
        <v>0</v>
      </c>
      <c r="E63" s="418">
        <v>0</v>
      </c>
    </row>
    <row r="64" spans="1:5" x14ac:dyDescent="0.6">
      <c r="A64" s="414" t="s">
        <v>300</v>
      </c>
      <c r="B64" s="418">
        <v>-1</v>
      </c>
      <c r="C64" s="418">
        <v>0</v>
      </c>
      <c r="D64" s="418">
        <v>0</v>
      </c>
      <c r="E64" s="418">
        <v>0</v>
      </c>
    </row>
    <row r="65" spans="1:5" x14ac:dyDescent="0.6">
      <c r="A65" s="414" t="s">
        <v>301</v>
      </c>
      <c r="B65" s="418">
        <v>0</v>
      </c>
      <c r="C65" s="418">
        <v>0</v>
      </c>
      <c r="D65" s="418">
        <v>0</v>
      </c>
      <c r="E65" s="418">
        <v>0</v>
      </c>
    </row>
    <row r="66" spans="1:5" x14ac:dyDescent="0.6">
      <c r="A66" s="414" t="s">
        <v>302</v>
      </c>
      <c r="B66" s="418">
        <v>0</v>
      </c>
      <c r="C66" s="418">
        <v>0</v>
      </c>
      <c r="D66" s="418">
        <v>0</v>
      </c>
      <c r="E66" s="418">
        <v>0</v>
      </c>
    </row>
    <row r="67" spans="1:5" x14ac:dyDescent="0.6">
      <c r="A67" s="414" t="s">
        <v>303</v>
      </c>
      <c r="B67" s="418">
        <v>0</v>
      </c>
      <c r="C67" s="418">
        <v>0</v>
      </c>
      <c r="D67" s="418">
        <v>0</v>
      </c>
      <c r="E67" s="418">
        <v>0</v>
      </c>
    </row>
    <row r="68" spans="1:5" x14ac:dyDescent="0.6">
      <c r="A68" s="414" t="s">
        <v>304</v>
      </c>
      <c r="B68" s="418">
        <v>-1</v>
      </c>
      <c r="C68" s="418">
        <v>0</v>
      </c>
      <c r="D68" s="418">
        <v>0</v>
      </c>
      <c r="E68" s="418">
        <v>0</v>
      </c>
    </row>
    <row r="69" spans="1:5" x14ac:dyDescent="0.6">
      <c r="B69" s="418"/>
      <c r="C69" s="418"/>
      <c r="D69" s="418"/>
      <c r="E69" s="418"/>
    </row>
    <row r="70" spans="1:5" x14ac:dyDescent="0.6">
      <c r="A70" s="414" t="s">
        <v>315</v>
      </c>
      <c r="B70" s="418">
        <v>33837836.759999998</v>
      </c>
      <c r="C70" s="418">
        <v>37785555.009999998</v>
      </c>
      <c r="D70" s="418">
        <v>39784867.009999998</v>
      </c>
      <c r="E70" s="418">
        <v>41429184.009999998</v>
      </c>
    </row>
    <row r="71" spans="1:5" x14ac:dyDescent="0.6">
      <c r="A71" s="414" t="s">
        <v>316</v>
      </c>
      <c r="B71" s="418">
        <v>695800</v>
      </c>
      <c r="C71" s="418">
        <v>0</v>
      </c>
      <c r="D71" s="418">
        <v>0</v>
      </c>
      <c r="E71" s="418">
        <v>0</v>
      </c>
    </row>
    <row r="72" spans="1:5" x14ac:dyDescent="0.6">
      <c r="A72" s="414" t="s">
        <v>317</v>
      </c>
      <c r="B72" s="418">
        <v>0</v>
      </c>
      <c r="C72" s="418">
        <v>0</v>
      </c>
      <c r="D72" s="418">
        <v>0</v>
      </c>
      <c r="E72" s="418">
        <v>0</v>
      </c>
    </row>
    <row r="73" spans="1:5" x14ac:dyDescent="0.6">
      <c r="A73" s="414" t="s">
        <v>318</v>
      </c>
      <c r="B73" s="418">
        <v>929345.24</v>
      </c>
      <c r="C73" s="418">
        <v>921742.02</v>
      </c>
      <c r="D73" s="418">
        <v>921742.02</v>
      </c>
      <c r="E73" s="418">
        <v>921742.02</v>
      </c>
    </row>
    <row r="74" spans="1:5" x14ac:dyDescent="0.6">
      <c r="B74" s="434"/>
      <c r="C74" s="434"/>
      <c r="D74" s="434"/>
      <c r="E74" s="434"/>
    </row>
    <row r="75" spans="1:5" x14ac:dyDescent="0.6">
      <c r="A75" s="414" t="s">
        <v>319</v>
      </c>
      <c r="B75" s="435">
        <v>0.03</v>
      </c>
      <c r="C75" s="435">
        <v>0.03</v>
      </c>
      <c r="D75" s="435">
        <v>0.03</v>
      </c>
      <c r="E75" s="435">
        <v>0.03</v>
      </c>
    </row>
    <row r="76" spans="1:5" x14ac:dyDescent="0.6">
      <c r="A76" s="414" t="s">
        <v>320</v>
      </c>
      <c r="B76" s="435" t="s">
        <v>321</v>
      </c>
      <c r="C76" s="435" t="s">
        <v>321</v>
      </c>
      <c r="D76" s="435" t="s">
        <v>321</v>
      </c>
      <c r="E76" s="435" t="s">
        <v>321</v>
      </c>
    </row>
    <row r="77" spans="1:5" x14ac:dyDescent="0.6">
      <c r="A77" s="414" t="s">
        <v>322</v>
      </c>
      <c r="B77" s="436">
        <v>6.8969983672732132E-2</v>
      </c>
      <c r="C77" s="436">
        <v>7.7291538007482494E-2</v>
      </c>
      <c r="D77" s="436">
        <v>0.12541669505598207</v>
      </c>
      <c r="E77" s="436">
        <v>0.21049220892813325</v>
      </c>
    </row>
    <row r="78" spans="1:5" x14ac:dyDescent="0.6">
      <c r="A78" s="414" t="s">
        <v>323</v>
      </c>
      <c r="B78" s="436">
        <v>2.3E-2</v>
      </c>
      <c r="C78" s="436">
        <v>2.5999999999999999E-2</v>
      </c>
      <c r="D78" s="436">
        <v>4.2000000000000003E-2</v>
      </c>
      <c r="E78" s="436">
        <v>7.0000000000000007E-2</v>
      </c>
    </row>
    <row r="79" spans="1:5" x14ac:dyDescent="0.6">
      <c r="A79" s="414" t="s">
        <v>324</v>
      </c>
      <c r="B79" s="436">
        <v>0</v>
      </c>
      <c r="C79" s="436">
        <v>0</v>
      </c>
      <c r="D79" s="436">
        <v>0</v>
      </c>
      <c r="E79" s="436">
        <v>0</v>
      </c>
    </row>
    <row r="80" spans="1:5" x14ac:dyDescent="0.6">
      <c r="B80" s="436"/>
      <c r="C80" s="436"/>
      <c r="D80" s="436"/>
      <c r="E80" s="436"/>
    </row>
    <row r="81" spans="1:5" x14ac:dyDescent="0.6">
      <c r="A81" s="414" t="s">
        <v>325</v>
      </c>
      <c r="B81" s="437">
        <v>36111817.619999997</v>
      </c>
      <c r="C81" s="437">
        <v>39393065.789999999</v>
      </c>
      <c r="D81" s="437">
        <v>41397872.780000001</v>
      </c>
      <c r="E81" s="437">
        <v>43045758.909999996</v>
      </c>
    </row>
    <row r="82" spans="1:5" x14ac:dyDescent="0.6">
      <c r="A82" s="414" t="s">
        <v>326</v>
      </c>
      <c r="B82" s="418">
        <v>35789863</v>
      </c>
      <c r="C82" s="418">
        <v>38911884.140000001</v>
      </c>
      <c r="D82" s="418">
        <v>39328852.719999999</v>
      </c>
      <c r="E82" s="418">
        <v>39372708.299999997</v>
      </c>
    </row>
    <row r="83" spans="1:5" x14ac:dyDescent="0.6">
      <c r="B83" s="418"/>
      <c r="C83" s="418"/>
      <c r="D83" s="418"/>
      <c r="E83" s="418"/>
    </row>
    <row r="84" spans="1:5" x14ac:dyDescent="0.6">
      <c r="A84" s="414" t="s">
        <v>327</v>
      </c>
      <c r="B84" s="418">
        <v>4232755.2200000007</v>
      </c>
      <c r="C84" s="418">
        <v>4199074.99</v>
      </c>
      <c r="D84" s="418">
        <v>3736645.0300000003</v>
      </c>
      <c r="E84" s="418">
        <v>3736645.0300000003</v>
      </c>
    </row>
    <row r="85" spans="1:5" x14ac:dyDescent="0.6">
      <c r="A85" s="414" t="s">
        <v>328</v>
      </c>
      <c r="B85" s="418">
        <v>4232755</v>
      </c>
      <c r="C85" s="418">
        <v>4199075.040000001</v>
      </c>
      <c r="D85" s="418">
        <v>3736645.0400000005</v>
      </c>
      <c r="E85" s="418">
        <v>3736645.0400000005</v>
      </c>
    </row>
    <row r="86" spans="1:5" x14ac:dyDescent="0.6">
      <c r="B86" s="422"/>
      <c r="C86" s="422"/>
      <c r="D86" s="422"/>
      <c r="E86" s="422"/>
    </row>
    <row r="87" spans="1:5" x14ac:dyDescent="0.6">
      <c r="A87" s="414" t="s">
        <v>329</v>
      </c>
      <c r="B87" s="422"/>
      <c r="C87" s="429">
        <v>0.11600000000000001</v>
      </c>
      <c r="D87" s="429">
        <v>0.11600000000000001</v>
      </c>
      <c r="E87" s="429">
        <v>0.11600000000000001</v>
      </c>
    </row>
    <row r="88" spans="1:5" x14ac:dyDescent="0.6">
      <c r="A88" s="414" t="s">
        <v>330</v>
      </c>
      <c r="C88" s="414" t="s">
        <v>331</v>
      </c>
    </row>
    <row r="89" spans="1:5" x14ac:dyDescent="0.6">
      <c r="A89" s="414" t="s">
        <v>147</v>
      </c>
      <c r="B89" s="426"/>
      <c r="C89" s="418">
        <v>2620867.04</v>
      </c>
      <c r="D89" s="418">
        <v>2620867.04</v>
      </c>
      <c r="E89" s="418">
        <v>2620867.04</v>
      </c>
    </row>
    <row r="90" spans="1:5" x14ac:dyDescent="0.6">
      <c r="A90" s="414" t="s">
        <v>332</v>
      </c>
      <c r="C90" s="418">
        <v>534054.49</v>
      </c>
      <c r="D90" s="418">
        <v>536159.53</v>
      </c>
      <c r="E90" s="418">
        <v>536159.53</v>
      </c>
    </row>
    <row r="91" spans="1:5" x14ac:dyDescent="0.6">
      <c r="A91" s="414" t="s">
        <v>333</v>
      </c>
      <c r="B91" s="422"/>
      <c r="C91" s="422">
        <v>0</v>
      </c>
      <c r="D91" s="422">
        <v>0</v>
      </c>
      <c r="E91" s="422">
        <v>0</v>
      </c>
    </row>
    <row r="92" spans="1:5" x14ac:dyDescent="0.6">
      <c r="A92" s="414" t="s">
        <v>334</v>
      </c>
      <c r="B92" s="422"/>
      <c r="C92" s="422">
        <v>3154921.5300000003</v>
      </c>
      <c r="D92" s="422">
        <v>3157026.5700000003</v>
      </c>
      <c r="E92" s="422">
        <v>3157026.5700000003</v>
      </c>
    </row>
    <row r="93" spans="1:5" x14ac:dyDescent="0.6">
      <c r="A93" s="414" t="s">
        <v>335</v>
      </c>
      <c r="B93" s="422"/>
      <c r="C93" s="422">
        <v>3154922</v>
      </c>
      <c r="D93" s="422">
        <v>3157027</v>
      </c>
      <c r="E93" s="422">
        <v>3157027</v>
      </c>
    </row>
    <row r="94" spans="1:5" x14ac:dyDescent="0.6">
      <c r="B94" s="422"/>
      <c r="C94" s="422"/>
      <c r="D94" s="422"/>
      <c r="E94" s="422"/>
    </row>
    <row r="95" spans="1:5" x14ac:dyDescent="0.6">
      <c r="A95" s="414" t="s">
        <v>336</v>
      </c>
      <c r="B95" s="422"/>
      <c r="C95" s="422"/>
      <c r="D95" s="422"/>
      <c r="E95" s="422"/>
    </row>
    <row r="96" spans="1:5" x14ac:dyDescent="0.6">
      <c r="A96" s="414" t="s">
        <v>153</v>
      </c>
      <c r="B96" s="418">
        <v>16860039</v>
      </c>
      <c r="C96" s="418">
        <v>17535843.710000001</v>
      </c>
      <c r="D96" s="418">
        <v>17882666.210000001</v>
      </c>
      <c r="E96" s="418">
        <v>17882666.210000001</v>
      </c>
    </row>
    <row r="97" spans="1:5" x14ac:dyDescent="0.6">
      <c r="A97" s="414" t="s">
        <v>154</v>
      </c>
      <c r="B97" s="418">
        <v>3104170</v>
      </c>
      <c r="C97" s="418">
        <v>3422944.03</v>
      </c>
      <c r="D97" s="418">
        <v>3422944.03</v>
      </c>
      <c r="E97" s="418">
        <v>3422944.03</v>
      </c>
    </row>
    <row r="98" spans="1:5" x14ac:dyDescent="0.6">
      <c r="A98" s="414" t="s">
        <v>155</v>
      </c>
      <c r="B98" s="418">
        <v>6019706</v>
      </c>
      <c r="C98" s="418">
        <v>7410147.0999999996</v>
      </c>
      <c r="D98" s="418">
        <v>7525754.5999999996</v>
      </c>
      <c r="E98" s="418">
        <v>7525754.5999999996</v>
      </c>
    </row>
    <row r="99" spans="1:5" x14ac:dyDescent="0.6">
      <c r="A99" s="414" t="s">
        <v>156</v>
      </c>
      <c r="B99" s="418">
        <v>3898865</v>
      </c>
      <c r="C99" s="418">
        <v>3887474.14</v>
      </c>
      <c r="D99" s="418">
        <v>3887474.14</v>
      </c>
      <c r="E99" s="418">
        <v>3887474.14</v>
      </c>
    </row>
    <row r="100" spans="1:5" x14ac:dyDescent="0.6">
      <c r="A100" s="414" t="s">
        <v>157</v>
      </c>
      <c r="B100" s="418">
        <v>5877383</v>
      </c>
      <c r="C100" s="418">
        <v>6525807.1399999997</v>
      </c>
      <c r="D100" s="418">
        <v>6585786.5</v>
      </c>
      <c r="E100" s="418">
        <v>6635116.0099999998</v>
      </c>
    </row>
    <row r="101" spans="1:5" x14ac:dyDescent="0.6">
      <c r="A101" s="414" t="s">
        <v>158</v>
      </c>
      <c r="B101" s="418">
        <v>15788</v>
      </c>
      <c r="C101" s="418">
        <v>15788.26</v>
      </c>
      <c r="D101" s="418">
        <v>15788.26</v>
      </c>
      <c r="E101" s="418">
        <v>15788.26</v>
      </c>
    </row>
    <row r="102" spans="1:5" x14ac:dyDescent="0.6">
      <c r="A102" s="414" t="s">
        <v>159</v>
      </c>
      <c r="B102" s="418">
        <v>0</v>
      </c>
      <c r="C102" s="418">
        <v>0</v>
      </c>
      <c r="D102" s="418">
        <v>0</v>
      </c>
      <c r="E102" s="418">
        <v>0</v>
      </c>
    </row>
    <row r="103" spans="1:5" x14ac:dyDescent="0.6">
      <c r="A103" s="414" t="s">
        <v>337</v>
      </c>
      <c r="B103" s="418">
        <v>13912</v>
      </c>
      <c r="C103" s="418">
        <v>113879.76</v>
      </c>
      <c r="D103" s="418">
        <v>8438.98</v>
      </c>
      <c r="E103" s="418">
        <v>2965.05</v>
      </c>
    </row>
    <row r="104" spans="1:5" x14ac:dyDescent="0.6">
      <c r="A104" s="414" t="s">
        <v>160</v>
      </c>
      <c r="B104" s="418">
        <v>35789863</v>
      </c>
      <c r="C104" s="418">
        <v>38911884.140000001</v>
      </c>
      <c r="D104" s="418">
        <v>39328852.719999999</v>
      </c>
      <c r="E104" s="418">
        <v>39372708.299999997</v>
      </c>
    </row>
    <row r="105" spans="1:5" x14ac:dyDescent="0.6">
      <c r="B105" s="418"/>
      <c r="C105" s="418"/>
      <c r="D105" s="418"/>
      <c r="E105" s="418"/>
    </row>
    <row r="106" spans="1:5" x14ac:dyDescent="0.6">
      <c r="A106" s="414" t="s">
        <v>338</v>
      </c>
      <c r="B106" s="418"/>
      <c r="C106" s="418"/>
      <c r="D106" s="418"/>
      <c r="E106" s="418"/>
    </row>
    <row r="107" spans="1:5" x14ac:dyDescent="0.6">
      <c r="A107" s="414" t="s">
        <v>153</v>
      </c>
      <c r="B107" s="418">
        <v>2243914</v>
      </c>
      <c r="C107" s="418">
        <v>2404474.08</v>
      </c>
      <c r="D107" s="418">
        <v>2057651.58</v>
      </c>
      <c r="E107" s="418">
        <v>2057651.58</v>
      </c>
    </row>
    <row r="108" spans="1:5" x14ac:dyDescent="0.6">
      <c r="A108" s="414" t="s">
        <v>154</v>
      </c>
      <c r="B108" s="418">
        <v>230489</v>
      </c>
      <c r="C108" s="418">
        <v>109060.18</v>
      </c>
      <c r="D108" s="418">
        <v>109060.18</v>
      </c>
      <c r="E108" s="418">
        <v>109060.18</v>
      </c>
    </row>
    <row r="109" spans="1:5" x14ac:dyDescent="0.6">
      <c r="A109" s="414" t="s">
        <v>155</v>
      </c>
      <c r="B109" s="418">
        <v>764803</v>
      </c>
      <c r="C109" s="418">
        <v>913960.47</v>
      </c>
      <c r="D109" s="418">
        <v>798352.97</v>
      </c>
      <c r="E109" s="418">
        <v>798352.97</v>
      </c>
    </row>
    <row r="110" spans="1:5" x14ac:dyDescent="0.6">
      <c r="A110" s="414" t="s">
        <v>156</v>
      </c>
      <c r="B110" s="418">
        <v>226135</v>
      </c>
      <c r="C110" s="418">
        <v>237525.81</v>
      </c>
      <c r="D110" s="418">
        <v>237525.81</v>
      </c>
      <c r="E110" s="418">
        <v>237525.81</v>
      </c>
    </row>
    <row r="111" spans="1:5" x14ac:dyDescent="0.6">
      <c r="A111" s="414" t="s">
        <v>157</v>
      </c>
      <c r="B111" s="418">
        <v>767414</v>
      </c>
      <c r="C111" s="418">
        <v>534054.5</v>
      </c>
      <c r="D111" s="418">
        <v>534054.5</v>
      </c>
      <c r="E111" s="418">
        <v>534054.5</v>
      </c>
    </row>
    <row r="112" spans="1:5" x14ac:dyDescent="0.6">
      <c r="A112" s="414" t="s">
        <v>158</v>
      </c>
      <c r="B112" s="418">
        <v>0</v>
      </c>
      <c r="C112" s="418">
        <v>0</v>
      </c>
      <c r="D112" s="418">
        <v>0</v>
      </c>
      <c r="E112" s="418">
        <v>0</v>
      </c>
    </row>
    <row r="113" spans="1:5" x14ac:dyDescent="0.6">
      <c r="A113" s="414" t="s">
        <v>159</v>
      </c>
      <c r="B113" s="418">
        <v>0</v>
      </c>
      <c r="C113" s="418">
        <v>0</v>
      </c>
      <c r="D113" s="418">
        <v>0</v>
      </c>
      <c r="E113" s="418">
        <v>0</v>
      </c>
    </row>
    <row r="114" spans="1:5" x14ac:dyDescent="0.6">
      <c r="A114" s="414" t="s">
        <v>337</v>
      </c>
      <c r="B114" s="418">
        <v>0</v>
      </c>
      <c r="C114" s="418">
        <v>0</v>
      </c>
      <c r="D114" s="418">
        <v>0</v>
      </c>
      <c r="E114" s="418">
        <v>0</v>
      </c>
    </row>
    <row r="115" spans="1:5" x14ac:dyDescent="0.6">
      <c r="A115" s="414" t="s">
        <v>160</v>
      </c>
      <c r="B115" s="418">
        <v>4232755</v>
      </c>
      <c r="C115" s="418">
        <v>4199075.040000001</v>
      </c>
      <c r="D115" s="418">
        <v>3736645.0400000005</v>
      </c>
      <c r="E115" s="418">
        <v>3736645.0400000005</v>
      </c>
    </row>
    <row r="116" spans="1:5" x14ac:dyDescent="0.6">
      <c r="B116" s="418"/>
      <c r="C116" s="418"/>
      <c r="D116" s="418"/>
      <c r="E116" s="418"/>
    </row>
    <row r="117" spans="1:5" x14ac:dyDescent="0.6">
      <c r="A117" s="414" t="s">
        <v>339</v>
      </c>
      <c r="B117" s="418"/>
      <c r="C117" s="418">
        <v>179726.6</v>
      </c>
      <c r="D117" s="418">
        <v>179726.6</v>
      </c>
      <c r="E117" s="418">
        <v>179726.6</v>
      </c>
    </row>
    <row r="118" spans="1:5" x14ac:dyDescent="0.6">
      <c r="A118" s="414" t="s">
        <v>340</v>
      </c>
      <c r="B118" s="418"/>
      <c r="C118" s="418">
        <v>0</v>
      </c>
      <c r="D118" s="418">
        <v>0</v>
      </c>
      <c r="E118" s="418">
        <v>0</v>
      </c>
    </row>
    <row r="119" spans="1:5" x14ac:dyDescent="0.6">
      <c r="A119" s="414" t="s">
        <v>341</v>
      </c>
      <c r="B119" s="418"/>
      <c r="C119" s="418">
        <v>0</v>
      </c>
      <c r="D119" s="418">
        <v>0</v>
      </c>
      <c r="E119" s="418">
        <v>0</v>
      </c>
    </row>
    <row r="120" spans="1:5" x14ac:dyDescent="0.6">
      <c r="A120" s="414" t="s">
        <v>342</v>
      </c>
      <c r="B120" s="418"/>
      <c r="C120" s="418">
        <v>2500</v>
      </c>
      <c r="D120" s="418">
        <v>2500</v>
      </c>
      <c r="E120" s="418">
        <v>2500</v>
      </c>
    </row>
    <row r="121" spans="1:5" x14ac:dyDescent="0.6">
      <c r="C121" s="422"/>
      <c r="D121" s="422"/>
      <c r="E121" s="422"/>
    </row>
    <row r="122" spans="1:5" x14ac:dyDescent="0.6">
      <c r="A122" s="414" t="s">
        <v>343</v>
      </c>
      <c r="C122" s="422">
        <v>1161218.9109</v>
      </c>
      <c r="D122" s="422">
        <v>1221198.2708999999</v>
      </c>
      <c r="E122" s="422">
        <v>1270527.7808999999</v>
      </c>
    </row>
    <row r="123" spans="1:5" x14ac:dyDescent="0.6">
      <c r="A123" s="414" t="s">
        <v>344</v>
      </c>
      <c r="C123" s="418">
        <v>0</v>
      </c>
      <c r="D123" s="418">
        <v>0</v>
      </c>
      <c r="E123" s="418">
        <v>0</v>
      </c>
    </row>
    <row r="124" spans="1:5" x14ac:dyDescent="0.6">
      <c r="A124" s="414" t="s">
        <v>345</v>
      </c>
      <c r="C124" s="422">
        <v>0</v>
      </c>
      <c r="D124" s="422">
        <v>0</v>
      </c>
      <c r="E124" s="422">
        <v>0</v>
      </c>
    </row>
    <row r="125" spans="1:5" x14ac:dyDescent="0.6">
      <c r="C125" s="422"/>
      <c r="D125" s="422"/>
      <c r="E125" s="422"/>
    </row>
    <row r="126" spans="1:5" x14ac:dyDescent="0.6">
      <c r="A126" s="414" t="s">
        <v>346</v>
      </c>
      <c r="C126" s="422"/>
      <c r="D126" s="422"/>
      <c r="E126" s="422"/>
    </row>
    <row r="127" spans="1:5" x14ac:dyDescent="0.6">
      <c r="A127" s="414" t="s">
        <v>347</v>
      </c>
      <c r="C127" s="422">
        <v>0</v>
      </c>
      <c r="D127" s="422">
        <v>0</v>
      </c>
      <c r="E127" s="422">
        <v>0</v>
      </c>
    </row>
    <row r="128" spans="1:5" x14ac:dyDescent="0.6">
      <c r="A128" s="414" t="s">
        <v>348</v>
      </c>
      <c r="C128" s="418">
        <v>0</v>
      </c>
      <c r="D128" s="418">
        <v>0</v>
      </c>
      <c r="E128" s="418">
        <v>0</v>
      </c>
    </row>
    <row r="129" spans="1:5" x14ac:dyDescent="0.6">
      <c r="A129" s="414" t="s">
        <v>349</v>
      </c>
      <c r="C129" s="418">
        <v>0</v>
      </c>
      <c r="D129" s="418">
        <v>0</v>
      </c>
      <c r="E129" s="418">
        <v>0</v>
      </c>
    </row>
    <row r="130" spans="1:5" x14ac:dyDescent="0.6">
      <c r="A130" s="414" t="s">
        <v>350</v>
      </c>
      <c r="C130" s="418">
        <v>0</v>
      </c>
      <c r="D130" s="418">
        <v>0</v>
      </c>
      <c r="E130" s="418">
        <v>0</v>
      </c>
    </row>
    <row r="131" spans="1:5" x14ac:dyDescent="0.6">
      <c r="A131" s="414" t="s">
        <v>351</v>
      </c>
      <c r="C131" s="418">
        <v>1669997.48</v>
      </c>
      <c r="D131" s="418">
        <v>300060.09000000003</v>
      </c>
      <c r="E131" s="418">
        <v>0</v>
      </c>
    </row>
    <row r="132" spans="1:5" x14ac:dyDescent="0.6">
      <c r="A132" s="414" t="s">
        <v>352</v>
      </c>
      <c r="C132" s="418">
        <v>0</v>
      </c>
      <c r="D132" s="418">
        <v>0</v>
      </c>
      <c r="E132" s="418">
        <v>0</v>
      </c>
    </row>
    <row r="133" spans="1:5" x14ac:dyDescent="0.6">
      <c r="A133" s="414" t="s">
        <v>353</v>
      </c>
      <c r="C133" s="418">
        <v>0</v>
      </c>
      <c r="D133" s="418">
        <v>0</v>
      </c>
      <c r="E133" s="418">
        <v>0</v>
      </c>
    </row>
    <row r="134" spans="1:5" x14ac:dyDescent="0.6">
      <c r="A134" s="414" t="s">
        <v>353</v>
      </c>
      <c r="C134" s="418">
        <v>0</v>
      </c>
      <c r="D134" s="418">
        <v>0</v>
      </c>
      <c r="E134" s="418">
        <v>0</v>
      </c>
    </row>
    <row r="135" spans="1:5" x14ac:dyDescent="0.6">
      <c r="A135" s="414" t="s">
        <v>353</v>
      </c>
      <c r="C135" s="418">
        <v>0</v>
      </c>
      <c r="D135" s="418">
        <v>0</v>
      </c>
      <c r="E135" s="418">
        <v>0</v>
      </c>
    </row>
    <row r="136" spans="1:5" x14ac:dyDescent="0.6">
      <c r="A136" s="414" t="s">
        <v>354</v>
      </c>
      <c r="C136" s="418">
        <v>0</v>
      </c>
      <c r="D136" s="418">
        <v>0</v>
      </c>
      <c r="E136" s="418">
        <v>0</v>
      </c>
    </row>
    <row r="137" spans="1:5" x14ac:dyDescent="0.6">
      <c r="A137" s="414" t="s">
        <v>342</v>
      </c>
      <c r="C137" s="418">
        <v>561730.09</v>
      </c>
      <c r="D137" s="418">
        <v>555832.32999999996</v>
      </c>
      <c r="E137" s="418">
        <v>550358.32999999996</v>
      </c>
    </row>
    <row r="138" spans="1:5" x14ac:dyDescent="0.6">
      <c r="A138" s="414" t="s">
        <v>321</v>
      </c>
      <c r="C138" s="434"/>
      <c r="D138" s="434"/>
      <c r="E138" s="434"/>
    </row>
    <row r="139" spans="1:5" x14ac:dyDescent="0.6">
      <c r="A139" s="414" t="s">
        <v>355</v>
      </c>
      <c r="C139" s="434"/>
      <c r="D139" s="434"/>
      <c r="E139" s="434"/>
    </row>
    <row r="140" spans="1:5" x14ac:dyDescent="0.6">
      <c r="A140" s="414" t="s">
        <v>91</v>
      </c>
      <c r="C140" s="418">
        <v>2438391</v>
      </c>
      <c r="D140" s="418">
        <v>3274046.174999998</v>
      </c>
    </row>
    <row r="141" spans="1:5" x14ac:dyDescent="0.6">
      <c r="A141" s="414" t="s">
        <v>93</v>
      </c>
      <c r="C141" s="418">
        <v>2467125.3400000003</v>
      </c>
      <c r="D141" s="418">
        <v>3099472.7408333304</v>
      </c>
    </row>
    <row r="142" spans="1:5" x14ac:dyDescent="0.6">
      <c r="A142" s="414" t="s">
        <v>94</v>
      </c>
      <c r="C142" s="418">
        <v>3456638.16</v>
      </c>
      <c r="D142" s="418">
        <v>3224959.3066666629</v>
      </c>
    </row>
    <row r="143" spans="1:5" x14ac:dyDescent="0.6">
      <c r="A143" s="414" t="s">
        <v>95</v>
      </c>
      <c r="C143" s="422">
        <v>2001799.3900000006</v>
      </c>
      <c r="D143" s="422">
        <v>3350445.8724999954</v>
      </c>
    </row>
    <row r="144" spans="1:5" x14ac:dyDescent="0.6">
      <c r="A144" s="414" t="s">
        <v>96</v>
      </c>
      <c r="C144" s="422">
        <v>2880230.3800000008</v>
      </c>
      <c r="D144" s="422">
        <v>3475932.4383333279</v>
      </c>
    </row>
    <row r="145" spans="1:4" x14ac:dyDescent="0.6">
      <c r="A145" s="414" t="s">
        <v>97</v>
      </c>
      <c r="C145" s="422">
        <v>3286147.9600000004</v>
      </c>
      <c r="D145" s="422">
        <v>3601419.0041666604</v>
      </c>
    </row>
    <row r="146" spans="1:4" x14ac:dyDescent="0.6">
      <c r="A146" s="414" t="s">
        <v>98</v>
      </c>
      <c r="C146" s="422">
        <v>3549975.4</v>
      </c>
      <c r="D146" s="422">
        <v>3726905.5699999928</v>
      </c>
    </row>
    <row r="147" spans="1:4" x14ac:dyDescent="0.6">
      <c r="A147" s="414" t="s">
        <v>99</v>
      </c>
      <c r="C147" s="422">
        <v>3247877.8699999992</v>
      </c>
      <c r="D147" s="422">
        <v>3852392.1358333253</v>
      </c>
    </row>
    <row r="148" spans="1:4" x14ac:dyDescent="0.6">
      <c r="A148" s="414" t="s">
        <v>100</v>
      </c>
      <c r="C148" s="422">
        <v>3341207.3099999987</v>
      </c>
      <c r="D148" s="422">
        <v>3977878.7016666578</v>
      </c>
    </row>
    <row r="149" spans="1:4" x14ac:dyDescent="0.6">
      <c r="A149" s="414" t="s">
        <v>101</v>
      </c>
      <c r="C149" s="422">
        <v>3350151.129999998</v>
      </c>
      <c r="D149" s="422">
        <v>4103365.2674999903</v>
      </c>
    </row>
    <row r="150" spans="1:4" x14ac:dyDescent="0.6">
      <c r="A150" s="414" t="s">
        <v>102</v>
      </c>
      <c r="C150" s="422">
        <v>3437659.2499999972</v>
      </c>
      <c r="D150" s="422">
        <v>4228851.8333333228</v>
      </c>
    </row>
    <row r="151" spans="1:4" x14ac:dyDescent="0.6">
      <c r="A151" s="414" t="s">
        <v>103</v>
      </c>
      <c r="C151" s="422">
        <v>4679176.4799999977</v>
      </c>
      <c r="D151" s="422">
        <v>4354338.3991666548</v>
      </c>
    </row>
    <row r="152" spans="1:4" x14ac:dyDescent="0.6">
      <c r="A152" s="414" t="s">
        <v>104</v>
      </c>
      <c r="C152" s="422">
        <v>3274046.174999998</v>
      </c>
      <c r="D152" s="422">
        <v>5401131.9649999868</v>
      </c>
    </row>
    <row r="153" spans="1:4" x14ac:dyDescent="0.6">
      <c r="C153" s="422"/>
      <c r="D153" s="422"/>
    </row>
    <row r="154" spans="1:4" x14ac:dyDescent="0.6">
      <c r="C154" s="422"/>
      <c r="D154" s="422"/>
    </row>
  </sheetData>
  <conditionalFormatting sqref="A77">
    <cfRule type="expression" dxfId="1" priority="2" stopIfTrue="1">
      <formula>$E$87=""</formula>
    </cfRule>
  </conditionalFormatting>
  <conditionalFormatting sqref="A78">
    <cfRule type="expression" dxfId="0" priority="1" stopIfTrue="1">
      <formula>$E$87&lt;&gt;0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DD9-8253-4A74-8DDB-AB68A5776ED1}">
  <sheetPr>
    <tabColor theme="0" tint="-0.499984740745262"/>
  </sheetPr>
  <dimension ref="A1:A16"/>
  <sheetViews>
    <sheetView workbookViewId="0"/>
  </sheetViews>
  <sheetFormatPr defaultColWidth="9.1328125" defaultRowHeight="13" x14ac:dyDescent="0.6"/>
  <cols>
    <col min="1" max="1" width="150.7265625" customWidth="1"/>
  </cols>
  <sheetData>
    <row r="1" spans="1:1" x14ac:dyDescent="0.6">
      <c r="A1" s="85" t="s">
        <v>130</v>
      </c>
    </row>
    <row r="2" spans="1:1" x14ac:dyDescent="0.6">
      <c r="A2" s="85" t="s">
        <v>127</v>
      </c>
    </row>
    <row r="3" spans="1:1" x14ac:dyDescent="0.6">
      <c r="A3" s="85" t="s">
        <v>128</v>
      </c>
    </row>
    <row r="4" spans="1:1" x14ac:dyDescent="0.6">
      <c r="A4" s="85" t="s">
        <v>129</v>
      </c>
    </row>
    <row r="6" spans="1:1" x14ac:dyDescent="0.6">
      <c r="A6" s="85" t="s">
        <v>132</v>
      </c>
    </row>
    <row r="7" spans="1:1" x14ac:dyDescent="0.6">
      <c r="A7" s="85" t="s">
        <v>113</v>
      </c>
    </row>
    <row r="8" spans="1:1" x14ac:dyDescent="0.6">
      <c r="A8" s="85" t="s">
        <v>115</v>
      </c>
    </row>
    <row r="10" spans="1:1" x14ac:dyDescent="0.6">
      <c r="A10" s="85" t="s">
        <v>130</v>
      </c>
    </row>
    <row r="11" spans="1:1" ht="15.75" x14ac:dyDescent="0.7">
      <c r="A11" s="1" t="s">
        <v>8</v>
      </c>
    </row>
    <row r="12" spans="1:1" ht="15.75" x14ac:dyDescent="0.7">
      <c r="A12" s="1" t="s">
        <v>10</v>
      </c>
    </row>
    <row r="13" spans="1:1" ht="15.75" x14ac:dyDescent="0.7">
      <c r="A13" s="1" t="s">
        <v>12</v>
      </c>
    </row>
    <row r="15" spans="1:1" ht="15.75" x14ac:dyDescent="0.6">
      <c r="A15" s="174" t="s">
        <v>190</v>
      </c>
    </row>
    <row r="16" spans="1:1" ht="15.75" x14ac:dyDescent="0.6">
      <c r="A16" s="174" t="s">
        <v>191</v>
      </c>
    </row>
  </sheetData>
  <sheetProtection algorithmName="SHA-512" hashValue="r3DhfBq8DpuwTKhCxw3a5etV3YsMyb+qhkXKBBQoFHBQoBzz+F+C5omRMRGljkRNyW4k2yKvct7acLuGWnK8wg==" saltValue="XTscc68cmcv0uhxdrkZmGw=="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0BDA92C3DB4C04A942459802A503F94" ma:contentTypeVersion="13" ma:contentTypeDescription="Create a new document." ma:contentTypeScope="" ma:versionID="7e4aad8d9cb3b643eb2684bb8576e6a5">
  <xsd:schema xmlns:xsd="http://www.w3.org/2001/XMLSchema" xmlns:xs="http://www.w3.org/2001/XMLSchema" xmlns:p="http://schemas.microsoft.com/office/2006/metadata/properties" xmlns:ns1="http://schemas.microsoft.com/sharepoint/v3" xmlns:ns3="0879ce9a-1e45-497c-8f79-e0f00b99d741" xmlns:ns4="c7dcac39-9c46-4c4c-a4ae-ab9a98d8ed90" targetNamespace="http://schemas.microsoft.com/office/2006/metadata/properties" ma:root="true" ma:fieldsID="3a693b5fc64e463f0ce1410daa89a3b8" ns1:_="" ns3:_="" ns4:_="">
    <xsd:import namespace="http://schemas.microsoft.com/sharepoint/v3"/>
    <xsd:import namespace="0879ce9a-1e45-497c-8f79-e0f00b99d741"/>
    <xsd:import namespace="c7dcac39-9c46-4c4c-a4ae-ab9a98d8ed9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79ce9a-1e45-497c-8f79-e0f00b99d74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dcac39-9c46-4c4c-a4ae-ab9a98d8ed9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0E6807-C023-4532-A918-364318A9AC1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A7505F8-8DB9-4ABA-9F78-C7FE428AAB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879ce9a-1e45-497c-8f79-e0f00b99d741"/>
    <ds:schemaRef ds:uri="c7dcac39-9c46-4c4c-a4ae-ab9a98d8ed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83D88C-1544-4941-833B-FFA569AC1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Review</vt:lpstr>
      <vt:lpstr>Graphs &amp; Charts</vt:lpstr>
      <vt:lpstr>Data</vt:lpstr>
      <vt:lpstr>Drop Down Lists</vt:lpstr>
      <vt:lpstr>Review!Print_Area</vt:lpstr>
      <vt:lpstr>Review!Print_Titles</vt:lpstr>
    </vt:vector>
  </TitlesOfParts>
  <Manager/>
  <Company>SBCSS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betty richards</dc:creator>
  <cp:keywords/>
  <dc:description/>
  <cp:lastModifiedBy>Aaron Guibord</cp:lastModifiedBy>
  <cp:revision/>
  <cp:lastPrinted>2022-10-07T22:58:44Z</cp:lastPrinted>
  <dcterms:created xsi:type="dcterms:W3CDTF">2005-05-06T21:06:28Z</dcterms:created>
  <dcterms:modified xsi:type="dcterms:W3CDTF">2022-11-28T23:41:37Z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0x01010070BDA92C3DB4C04A942459802A503F94</vt:lpwstr>
  </property>
</Properties>
</file>