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Patrick1/Desktop/Charter Schools, 2nd interim reports /Sky Mountain/"/>
    </mc:Choice>
  </mc:AlternateContent>
  <xr:revisionPtr revIDLastSave="0" documentId="13_ncr:1_{644CD0AC-DC61-5E49-B67F-2B7ECE682A5E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externalReferences>
    <externalReference r:id="rId6"/>
  </externalReferences>
  <definedNames>
    <definedName name="_xlnm.Print_Area" localSheetId="1">Review!$A$1:$J$422</definedName>
    <definedName name="_xlnm.Print_Titles" localSheetId="1">Review!$4:$7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2" i="5" l="1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A138" i="5"/>
  <c r="E137" i="5"/>
  <c r="D137" i="5"/>
  <c r="C137" i="5"/>
  <c r="A137" i="5"/>
  <c r="E136" i="5"/>
  <c r="D136" i="5"/>
  <c r="C136" i="5"/>
  <c r="A136" i="5"/>
  <c r="E135" i="5"/>
  <c r="D135" i="5"/>
  <c r="C135" i="5"/>
  <c r="A135" i="5"/>
  <c r="E134" i="5"/>
  <c r="D134" i="5"/>
  <c r="C134" i="5"/>
  <c r="A134" i="5"/>
  <c r="E133" i="5"/>
  <c r="D133" i="5"/>
  <c r="C133" i="5"/>
  <c r="A133" i="5"/>
  <c r="E132" i="5"/>
  <c r="D132" i="5"/>
  <c r="C132" i="5"/>
  <c r="A132" i="5"/>
  <c r="E131" i="5"/>
  <c r="D131" i="5"/>
  <c r="C131" i="5"/>
  <c r="A131" i="5"/>
  <c r="E130" i="5"/>
  <c r="D130" i="5"/>
  <c r="C130" i="5"/>
  <c r="A130" i="5"/>
  <c r="E129" i="5"/>
  <c r="D129" i="5"/>
  <c r="C129" i="5"/>
  <c r="A129" i="5"/>
  <c r="E128" i="5"/>
  <c r="D128" i="5"/>
  <c r="C128" i="5"/>
  <c r="A128" i="5"/>
  <c r="E127" i="5"/>
  <c r="D127" i="5"/>
  <c r="C127" i="5"/>
  <c r="A127" i="5"/>
  <c r="E124" i="5"/>
  <c r="D124" i="5"/>
  <c r="C124" i="5"/>
  <c r="E123" i="5"/>
  <c r="D123" i="5"/>
  <c r="C123" i="5"/>
  <c r="E122" i="5"/>
  <c r="D122" i="5"/>
  <c r="C122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C88" i="5"/>
  <c r="E87" i="5"/>
  <c r="D87" i="5"/>
  <c r="C87" i="5"/>
  <c r="E85" i="5"/>
  <c r="D85" i="5"/>
  <c r="C85" i="5"/>
  <c r="B85" i="5"/>
  <c r="E84" i="5"/>
  <c r="D84" i="5"/>
  <c r="C84" i="5"/>
  <c r="B84" i="5"/>
  <c r="E82" i="5"/>
  <c r="D82" i="5"/>
  <c r="C82" i="5"/>
  <c r="B82" i="5"/>
  <c r="E81" i="5"/>
  <c r="D81" i="5"/>
  <c r="C81" i="5"/>
  <c r="B81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3" i="5"/>
  <c r="D63" i="5"/>
  <c r="C63" i="5"/>
  <c r="B63" i="5"/>
  <c r="E62" i="5"/>
  <c r="E64" i="5" s="1"/>
  <c r="D62" i="5"/>
  <c r="D64" i="5" s="1"/>
  <c r="C62" i="5"/>
  <c r="C64" i="5" s="1"/>
  <c r="B62" i="5"/>
  <c r="B64" i="5" s="1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0" i="5"/>
  <c r="D40" i="5"/>
  <c r="C40" i="5"/>
  <c r="E39" i="5"/>
  <c r="D39" i="5"/>
  <c r="C39" i="5"/>
  <c r="E38" i="5"/>
  <c r="D38" i="5"/>
  <c r="C38" i="5"/>
  <c r="E37" i="5"/>
  <c r="D37" i="5"/>
  <c r="C37" i="5"/>
  <c r="E35" i="5"/>
  <c r="D35" i="5"/>
  <c r="C35" i="5"/>
  <c r="E34" i="5"/>
  <c r="D34" i="5"/>
  <c r="C34" i="5"/>
  <c r="E33" i="5"/>
  <c r="D33" i="5"/>
  <c r="C33" i="5"/>
  <c r="E32" i="5"/>
  <c r="D32" i="5"/>
  <c r="C32" i="5"/>
  <c r="E30" i="5"/>
  <c r="D30" i="5"/>
  <c r="C30" i="5"/>
  <c r="E29" i="5"/>
  <c r="D29" i="5"/>
  <c r="C29" i="5"/>
  <c r="E27" i="5"/>
  <c r="D27" i="5"/>
  <c r="C27" i="5"/>
  <c r="E26" i="5"/>
  <c r="D26" i="5"/>
  <c r="C26" i="5"/>
  <c r="E25" i="5"/>
  <c r="D25" i="5"/>
  <c r="C25" i="5"/>
  <c r="E23" i="5"/>
  <c r="D23" i="5"/>
  <c r="C23" i="5"/>
  <c r="E22" i="5"/>
  <c r="D22" i="5"/>
  <c r="C22" i="5"/>
  <c r="E21" i="5"/>
  <c r="D21" i="5"/>
  <c r="C21" i="5"/>
  <c r="E20" i="5"/>
  <c r="D20" i="5"/>
  <c r="C20" i="5"/>
  <c r="E18" i="5"/>
  <c r="D18" i="5"/>
  <c r="C18" i="5"/>
  <c r="E17" i="5"/>
  <c r="D17" i="5"/>
  <c r="C17" i="5"/>
  <c r="E15" i="5"/>
  <c r="D15" i="5"/>
  <c r="C15" i="5"/>
  <c r="E14" i="5"/>
  <c r="D14" i="5"/>
  <c r="C14" i="5"/>
  <c r="E13" i="5"/>
  <c r="D13" i="5"/>
  <c r="C13" i="5"/>
  <c r="E11" i="5"/>
  <c r="D11" i="5"/>
  <c r="C11" i="5"/>
  <c r="B11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A4" i="5"/>
  <c r="A3" i="5"/>
  <c r="A1" i="5"/>
  <c r="E152" i="2" l="1"/>
  <c r="E48" i="2"/>
  <c r="E47" i="2"/>
  <c r="H48" i="2"/>
  <c r="H47" i="2"/>
  <c r="E153" i="2" l="1"/>
  <c r="F338" i="2"/>
  <c r="F337" i="2"/>
  <c r="E349" i="2"/>
  <c r="J96" i="2"/>
  <c r="I96" i="2"/>
  <c r="H96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I373" i="2"/>
  <c r="G373" i="2"/>
  <c r="E373" i="2"/>
  <c r="G351" i="2"/>
  <c r="E351" i="2"/>
  <c r="D351" i="2"/>
  <c r="G350" i="2"/>
  <c r="E350" i="2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I152" i="2"/>
  <c r="G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D339" i="2"/>
  <c r="D342" i="2"/>
  <c r="D341" i="2"/>
  <c r="D340" i="2"/>
  <c r="E342" i="2"/>
  <c r="E341" i="2"/>
  <c r="E340" i="2"/>
  <c r="F341" i="2" l="1"/>
  <c r="F342" i="2"/>
  <c r="H109" i="2"/>
  <c r="J109" i="2" s="1"/>
  <c r="F350" i="2"/>
  <c r="F339" i="2"/>
  <c r="F343" i="2" s="1"/>
  <c r="F340" i="2"/>
  <c r="H124" i="2"/>
  <c r="G155" i="2"/>
  <c r="G156" i="2" s="1"/>
  <c r="G246" i="2" s="1"/>
  <c r="F242" i="2"/>
  <c r="G122" i="2"/>
  <c r="F151" i="2" s="1"/>
  <c r="G242" i="2"/>
  <c r="E150" i="2"/>
  <c r="I155" i="2"/>
  <c r="I156" i="2" s="1"/>
  <c r="H246" i="2" s="1"/>
  <c r="G109" i="2"/>
  <c r="E155" i="2"/>
  <c r="D242" i="2"/>
  <c r="H108" i="2"/>
  <c r="I108" i="2" s="1"/>
  <c r="J148" i="2"/>
  <c r="G158" i="2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I48" i="2"/>
  <c r="I47" i="2"/>
  <c r="G48" i="2"/>
  <c r="G47" i="2"/>
  <c r="D48" i="2"/>
  <c r="D47" i="2"/>
  <c r="E302" i="2"/>
  <c r="E301" i="2"/>
  <c r="E300" i="2"/>
  <c r="E285" i="2"/>
  <c r="E284" i="2"/>
  <c r="E283" i="2"/>
  <c r="I109" i="2" l="1"/>
  <c r="G159" i="2"/>
  <c r="J151" i="2"/>
  <c r="I159" i="2"/>
  <c r="J108" i="2"/>
  <c r="I151" i="2"/>
  <c r="E156" i="2"/>
  <c r="F246" i="2" s="1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C42" i="3"/>
  <c r="D42" i="3"/>
  <c r="E42" i="3"/>
  <c r="C43" i="3"/>
  <c r="D43" i="3"/>
  <c r="E43" i="3"/>
  <c r="E41" i="3"/>
  <c r="D41" i="3"/>
  <c r="C41" i="3"/>
  <c r="H26" i="3"/>
  <c r="H25" i="3"/>
  <c r="E26" i="3"/>
  <c r="E27" i="3"/>
  <c r="D26" i="3"/>
  <c r="D27" i="3"/>
  <c r="C26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D295" i="2"/>
  <c r="E316" i="2" l="1"/>
  <c r="G315" i="2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F50" i="2"/>
  <c r="F49" i="2"/>
  <c r="H49" i="2" s="1"/>
  <c r="H53" i="2" s="1"/>
  <c r="D6" i="2"/>
  <c r="D4" i="2"/>
  <c r="D5" i="2"/>
  <c r="D9" i="2"/>
  <c r="H51" i="2" l="1"/>
  <c r="H50" i="2"/>
  <c r="H52" i="2"/>
  <c r="G49" i="2"/>
  <c r="F315" i="2"/>
  <c r="D315" i="2"/>
  <c r="F316" i="2"/>
  <c r="F317" i="2"/>
  <c r="D317" i="2"/>
  <c r="B9" i="3"/>
  <c r="D288" i="2"/>
  <c r="D290" i="2"/>
  <c r="B6" i="3"/>
  <c r="G50" i="2"/>
  <c r="B7" i="3"/>
  <c r="G51" i="2"/>
  <c r="B8" i="3"/>
  <c r="G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F41" i="3" s="1"/>
  <c r="H119" i="2"/>
  <c r="G41" i="3" s="1"/>
  <c r="G105" i="2" l="1"/>
  <c r="D135" i="2"/>
  <c r="C58" i="3" s="1"/>
  <c r="F26" i="3" l="1"/>
  <c r="C27" i="3"/>
  <c r="F135" i="2"/>
  <c r="E58" i="3" s="1"/>
  <c r="E135" i="2"/>
  <c r="D58" i="3" s="1"/>
  <c r="H120" i="2"/>
  <c r="G42" i="3" s="1"/>
  <c r="G120" i="2"/>
  <c r="F42" i="3" s="1"/>
  <c r="H104" i="2"/>
  <c r="J104" i="2" s="1"/>
  <c r="H105" i="2"/>
  <c r="J105" i="2" s="1"/>
  <c r="D65" i="2"/>
  <c r="F59" i="2"/>
  <c r="B105" i="2"/>
  <c r="B106" i="2"/>
  <c r="A27" i="3" s="1"/>
  <c r="B108" i="2"/>
  <c r="B109" i="2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A30" i="3" l="1"/>
  <c r="J95" i="2"/>
  <c r="A29" i="3"/>
  <c r="I95" i="2"/>
  <c r="B120" i="2"/>
  <c r="A26" i="3"/>
  <c r="G25" i="3"/>
  <c r="G26" i="3"/>
  <c r="I26" i="3"/>
  <c r="B67" i="2"/>
  <c r="D72" i="2" s="1"/>
  <c r="A7" i="3"/>
  <c r="G135" i="2"/>
  <c r="F58" i="3" s="1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D221" i="2" s="1"/>
  <c r="D233" i="2" s="1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317" i="2" s="1"/>
  <c r="C322" i="2" s="1"/>
  <c r="C285" i="2"/>
  <c r="C289" i="2"/>
  <c r="C296" i="2" s="1"/>
  <c r="C284" i="2"/>
  <c r="G168" i="2"/>
  <c r="E188" i="2" s="1"/>
  <c r="F326" i="2"/>
  <c r="F331" i="2" s="1"/>
  <c r="F266" i="2" s="1"/>
  <c r="F233" i="2"/>
  <c r="C278" i="2"/>
  <c r="A60" i="3"/>
  <c r="E326" i="2"/>
  <c r="E331" i="2" s="1"/>
  <c r="E233" i="2"/>
  <c r="H106" i="2"/>
  <c r="J106" i="2" s="1"/>
  <c r="G106" i="2"/>
  <c r="C297" i="2" l="1"/>
  <c r="C351" i="2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G27" i="3"/>
  <c r="B111" i="2"/>
  <c r="F27" i="3"/>
  <c r="D266" i="2"/>
  <c r="I27" i="3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D136" i="2"/>
  <c r="C59" i="3" s="1"/>
  <c r="F134" i="2"/>
  <c r="E57" i="3" s="1"/>
  <c r="E134" i="2"/>
  <c r="D57" i="3" s="1"/>
  <c r="D134" i="2"/>
  <c r="C57" i="3" s="1"/>
  <c r="H352" i="2" l="1"/>
  <c r="E352" i="2"/>
  <c r="H180" i="2"/>
  <c r="G104" i="2"/>
  <c r="F88" i="2"/>
  <c r="F89" i="2" s="1"/>
  <c r="F74" i="2"/>
  <c r="F75" i="2" s="1"/>
  <c r="F81" i="2"/>
  <c r="F82" i="2" s="1"/>
  <c r="F83" i="2"/>
  <c r="F90" i="2"/>
  <c r="F76" i="2"/>
  <c r="E67" i="2"/>
  <c r="F67" i="2" s="1"/>
  <c r="E66" i="2"/>
  <c r="F66" i="2" s="1"/>
  <c r="E68" i="2"/>
  <c r="F68" i="2" s="1"/>
  <c r="E69" i="2"/>
  <c r="F69" i="2" s="1"/>
  <c r="I25" i="3" l="1"/>
  <c r="F25" i="3"/>
  <c r="G134" i="2"/>
  <c r="F57" i="3" s="1"/>
  <c r="H134" i="2" l="1"/>
  <c r="G57" i="3" s="1"/>
  <c r="E46" i="3" l="1"/>
  <c r="E45" i="3"/>
  <c r="E44" i="3"/>
  <c r="F136" i="2"/>
  <c r="E59" i="3" s="1"/>
  <c r="H351" i="2" l="1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s="1"/>
  <c r="E88" i="2" l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E51" i="2" s="1"/>
  <c r="D51" i="2" l="1"/>
  <c r="E81" i="2"/>
  <c r="I50" i="2"/>
  <c r="C7" i="3"/>
  <c r="G136" i="2"/>
  <c r="F59" i="3" s="1"/>
  <c r="H136" i="2"/>
  <c r="G59" i="3" s="1"/>
  <c r="G178" i="2"/>
  <c r="E192" i="2"/>
  <c r="E76" i="2"/>
  <c r="C49" i="2"/>
  <c r="D30" i="3"/>
  <c r="D46" i="3"/>
  <c r="E50" i="2" l="1"/>
  <c r="E74" i="2" s="1"/>
  <c r="E49" i="2"/>
  <c r="E53" i="2" s="1"/>
  <c r="D49" i="2"/>
  <c r="D50" i="2"/>
  <c r="I49" i="2"/>
  <c r="I53" i="2" s="1"/>
  <c r="J53" i="2" s="1"/>
  <c r="C6" i="3"/>
  <c r="G46" i="3"/>
  <c r="E139" i="2"/>
  <c r="D62" i="3" s="1"/>
  <c r="E75" i="2" l="1"/>
  <c r="E89" i="2"/>
  <c r="E82" i="2"/>
  <c r="G30" i="3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Annette Baker</author>
  </authors>
  <commentList>
    <comment ref="D103" authorId="0" shapeId="0" xr:uid="{430E11E4-C75A-433A-90E8-7A6865570960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07" authorId="0" shapeId="0" xr:uid="{678FF03A-296E-457F-B852-493624A216D4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0" shapeId="0" xr:uid="{F8ACD0AA-0429-4062-89D1-B5F0BD481D0D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0" shapeId="0" xr:uid="{F13C5A6B-BBA3-4CC0-A001-6F8B8C00025F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</commentList>
</comments>
</file>

<file path=xl/sharedStrings.xml><?xml version="1.0" encoding="utf-8"?>
<sst xmlns="http://schemas.openxmlformats.org/spreadsheetml/2006/main" count="563" uniqueCount="355">
  <si>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</si>
  <si>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</si>
  <si>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</si>
  <si>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</si>
  <si>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</si>
  <si>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</si>
  <si>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</si>
  <si>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</si>
  <si>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</si>
  <si>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</si>
  <si>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</si>
  <si>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</si>
  <si>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</si>
  <si>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</si>
  <si>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</si>
  <si>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</si>
  <si>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</si>
  <si>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</si>
  <si>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</si>
  <si>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</si>
  <si>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</si>
  <si>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</si>
  <si>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</si>
  <si>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</si>
  <si>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</si>
  <si>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</si>
  <si>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</si>
  <si>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</si>
  <si>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</si>
  <si>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</si>
  <si>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</si>
  <si>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</si>
  <si>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</si>
  <si>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</si>
  <si>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</si>
  <si>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</si>
  <si>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</si>
  <si>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</si>
  <si>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</si>
  <si>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</si>
  <si>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</si>
  <si>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</si>
  <si>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</si>
  <si>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</si>
  <si>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</si>
  <si>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</si>
  <si>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</si>
  <si>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</si>
  <si>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</si>
  <si>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</si>
  <si>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</si>
  <si>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</si>
  <si>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</si>
  <si>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</si>
  <si>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</si>
  <si>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</si>
  <si>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</si>
  <si>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</si>
  <si>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</si>
  <si>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</si>
  <si>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</si>
  <si>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</si>
  <si>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</si>
  <si>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</si>
  <si>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</si>
  <si>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</si>
  <si>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</si>
  <si>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</si>
  <si>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</si>
  <si>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</si>
  <si>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</si>
  <si>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</si>
  <si>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</si>
  <si>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</si>
  <si>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</si>
  <si>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</si>
  <si>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</si>
  <si>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</si>
  <si>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</si>
  <si>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</si>
  <si>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</si>
  <si>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</si>
  <si>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</si>
  <si>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</si>
  <si>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</si>
  <si>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</si>
  <si>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</si>
  <si>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</si>
  <si>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</si>
  <si>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</si>
  <si>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</si>
  <si>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</si>
  <si>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</si>
  <si>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</si>
  <si>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</si>
  <si>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</si>
  <si>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</si>
  <si>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</si>
  <si>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</si>
  <si>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</si>
  <si>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</si>
  <si>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</si>
  <si>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</si>
  <si>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</si>
  <si>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</si>
  <si>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</si>
  <si>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</si>
  <si>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</si>
  <si>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</si>
  <si>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</si>
  <si>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</si>
  <si>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</si>
  <si>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</si>
  <si>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</si>
  <si>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</si>
  <si>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</si>
  <si>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</si>
  <si>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</si>
  <si>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</si>
  <si>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</si>
  <si>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</si>
  <si>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</si>
  <si>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</si>
  <si>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</si>
  <si>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</si>
  <si>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</si>
  <si>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</si>
  <si>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</si>
  <si>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</si>
  <si>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</si>
  <si>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</si>
  <si>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</si>
  <si>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</si>
  <si>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</si>
  <si>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</si>
  <si>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</si>
  <si>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</si>
  <si>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</si>
  <si>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</si>
  <si>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</si>
  <si>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</si>
  <si>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</si>
  <si>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</si>
  <si>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</si>
  <si>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</si>
  <si>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</si>
  <si>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</si>
  <si>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</si>
  <si>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</si>
  <si>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</si>
  <si>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</si>
  <si>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</si>
  <si>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</si>
  <si>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</si>
  <si>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</si>
  <si>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</si>
  <si>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</si>
  <si>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</si>
  <si>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</si>
  <si>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</si>
  <si>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</si>
  <si>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</si>
  <si>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</si>
  <si>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</si>
  <si>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</si>
  <si>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</si>
  <si>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</si>
  <si>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</si>
  <si>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</si>
  <si>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</si>
  <si>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</si>
  <si>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</si>
  <si>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</si>
  <si>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</si>
  <si>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</si>
  <si>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</si>
  <si>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</si>
  <si>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</si>
  <si>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</si>
  <si>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</si>
  <si>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</si>
  <si>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</si>
  <si>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</si>
  <si>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</si>
  <si>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</si>
  <si>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</si>
  <si>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</si>
  <si>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</si>
  <si>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</si>
  <si>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</si>
  <si>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</si>
  <si>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</si>
  <si>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</si>
  <si>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</si>
  <si>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</si>
  <si>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</si>
  <si>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</si>
  <si>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</si>
  <si>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</si>
  <si>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</si>
  <si>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</si>
  <si>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</si>
  <si>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</si>
  <si>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</si>
  <si>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</si>
  <si>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</si>
  <si>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</si>
  <si>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</si>
  <si>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</si>
  <si>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</si>
  <si>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</si>
  <si>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</si>
  <si>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</si>
  <si>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</si>
  <si>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</si>
  <si>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</si>
  <si>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</si>
  <si>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</si>
  <si>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</si>
  <si>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</si>
  <si>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</si>
  <si>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</si>
  <si>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</si>
  <si>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</si>
  <si>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</si>
  <si>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</si>
  <si>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</si>
  <si>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</si>
  <si>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</si>
  <si>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</si>
  <si>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</si>
  <si>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</si>
  <si>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</si>
  <si>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</si>
  <si>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</si>
  <si>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</si>
  <si>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</si>
  <si>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</si>
  <si>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</si>
  <si>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</si>
  <si>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</si>
  <si>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</si>
  <si>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</si>
  <si>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</si>
  <si>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</si>
  <si>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</si>
  <si>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</si>
  <si>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</si>
  <si>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</si>
  <si>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</si>
  <si>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</si>
  <si>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</si>
  <si>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</si>
  <si>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</si>
  <si>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</si>
  <si>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</si>
  <si>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</si>
  <si>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5. Total Reserve for Economic Uncertainties &amp; Undesignated/Unappropriated (9789, 9790)</t>
  </si>
  <si>
    <t>10/12/2022 Modified cells E152, G152, and I152 to reference current year rather than prior year on the Data tab</t>
  </si>
  <si>
    <t>Facility and Admin Services Agreement Assumptions vs Contract and Services Budget</t>
  </si>
  <si>
    <t>10/7/2022 Modified label and changed formula in E153 to reference current year rather than prior year on the Data tab</t>
  </si>
  <si>
    <t>11/3/2022 Corrected formulas in cells E47-52 and H47-52</t>
  </si>
  <si>
    <t>Rev 11/3/2022</t>
  </si>
  <si>
    <r>
      <t xml:space="preserve">Comments: </t>
    </r>
    <r>
      <rPr>
        <i/>
        <sz val="11"/>
        <rFont val="Verdana"/>
        <family val="2"/>
      </rPr>
      <t>Are deviations from historical average or trend explainable?</t>
    </r>
  </si>
  <si>
    <t>PY</t>
  </si>
  <si>
    <t>CY</t>
  </si>
  <si>
    <t>SY1</t>
  </si>
  <si>
    <t>SY2</t>
  </si>
  <si>
    <t>Unduplicated Count</t>
  </si>
  <si>
    <t>UPP (Rolling)</t>
  </si>
  <si>
    <t>LCFF</t>
  </si>
  <si>
    <t>Teacher FTE</t>
  </si>
  <si>
    <t>Other Cert FTE</t>
  </si>
  <si>
    <t>Cert Mgt FTE</t>
  </si>
  <si>
    <t>Class FTE</t>
  </si>
  <si>
    <t>Class MGMT FTE</t>
  </si>
  <si>
    <t xml:space="preserve">Teacher Ave salary Per FTE </t>
  </si>
  <si>
    <t>Other Cert Staff salary Per FTE</t>
  </si>
  <si>
    <t>Cert Mgt salary Per FTE</t>
  </si>
  <si>
    <t>Cert Other Pay, Stipends, Extra Pay</t>
  </si>
  <si>
    <t>Class Ave salary Per FTE</t>
  </si>
  <si>
    <t>Class Mgmt Ave salary Per FTE</t>
  </si>
  <si>
    <t>Class Other Pay, Stipends, Extra Pay</t>
  </si>
  <si>
    <t>Class H&amp;W/EE</t>
  </si>
  <si>
    <t>Cert H&amp;W/EE</t>
  </si>
  <si>
    <t>STRS Rate</t>
  </si>
  <si>
    <t>PERS Rate</t>
  </si>
  <si>
    <t>Retirement Cost per Cert Employee</t>
  </si>
  <si>
    <t>Retirement Cost per Class Employee</t>
  </si>
  <si>
    <t>FICA</t>
  </si>
  <si>
    <t>Medi</t>
  </si>
  <si>
    <t>Unemployment</t>
  </si>
  <si>
    <t>Workers Comp</t>
  </si>
  <si>
    <t>Unrestricted FUND BALANCE</t>
  </si>
  <si>
    <t>Beginning Balance at Adopted Budget 9791</t>
  </si>
  <si>
    <t>Adjustments for Unaudited Actuals 9791</t>
  </si>
  <si>
    <t xml:space="preserve">  Beg Fund Balance at Unaudited Actuals</t>
  </si>
  <si>
    <t>Adjustments for Audit 9793</t>
  </si>
  <si>
    <t>Adjustments for Restatements 9795</t>
  </si>
  <si>
    <t xml:space="preserve">  Beginning Fund Balance as per Audit Report +/- Restatements</t>
  </si>
  <si>
    <t>Ending Balance 9790</t>
  </si>
  <si>
    <t>Revolving Cash 9711</t>
  </si>
  <si>
    <t>Stores 9711</t>
  </si>
  <si>
    <t>Prepaid Expenditures 9713</t>
  </si>
  <si>
    <t>All Others 9719</t>
  </si>
  <si>
    <t>Committed - Stabilization Arrangements 9750</t>
  </si>
  <si>
    <t>Committed - Other 9760</t>
  </si>
  <si>
    <t>Assignments 9780</t>
  </si>
  <si>
    <t>Reserve for Ecomonic Uncertainties 9789</t>
  </si>
  <si>
    <t>Undesignated/Unappropriated Amount/Unrestricted Net Position 9790</t>
  </si>
  <si>
    <t>Restricted FUND BALANCE</t>
  </si>
  <si>
    <t>LCFF 8011</t>
  </si>
  <si>
    <t>EPA 8011</t>
  </si>
  <si>
    <t>State Aid - Prior Year 8019</t>
  </si>
  <si>
    <t>In Lieu Property Taxes 8096</t>
  </si>
  <si>
    <t>Reserve Standard (unless different standard identified in MOU)</t>
  </si>
  <si>
    <t>If MOU contains a Reserve Standard other than above</t>
  </si>
  <si>
    <t>Available Fund Balance %</t>
  </si>
  <si>
    <t>Deficit Spending Standard</t>
  </si>
  <si>
    <t>Deficit Spending %</t>
  </si>
  <si>
    <t>Unrestricted Total Rev and Funding Sources</t>
  </si>
  <si>
    <t>Unrestricted Total Exp and Other Uses</t>
  </si>
  <si>
    <t>Restricted Total Rev and Funding Sources</t>
  </si>
  <si>
    <t>Restricted Total Exp and Other Uses</t>
  </si>
  <si>
    <t>What % of student population is Special Ed</t>
  </si>
  <si>
    <t>Charter under School District, or a member LEA for SELPA services?</t>
  </si>
  <si>
    <t>Other Special Ed Revenue</t>
  </si>
  <si>
    <t>Unrestricted contribution to Special Ed</t>
  </si>
  <si>
    <t>Total Special Ed Funding</t>
  </si>
  <si>
    <t>Special Ed Expenditures</t>
  </si>
  <si>
    <t>Unrestricted Exp</t>
  </si>
  <si>
    <t>Debt Service (see Debt Form)</t>
  </si>
  <si>
    <t>Restricted Exp</t>
  </si>
  <si>
    <t>Rent</t>
  </si>
  <si>
    <t>Electricity</t>
  </si>
  <si>
    <t>Heating (gas)</t>
  </si>
  <si>
    <t>Other</t>
  </si>
  <si>
    <t>Oversight Fees to Sponsor</t>
  </si>
  <si>
    <t>Administive Service Contract</t>
  </si>
  <si>
    <t>Other Contracted costs</t>
  </si>
  <si>
    <t>Debt</t>
  </si>
  <si>
    <t>Cash Flow</t>
  </si>
  <si>
    <t>None</t>
  </si>
  <si>
    <t>COVID pandemic and statewide enrollment cap on non-classroom based charters in 2020-21 invalidate trend information.  Currently the charter is not projecting annual growth and is expected to return to trends prior to COVID pandemic with 100% attendance compared to Fall 1 enrollment.  98% annual ADA ratio is reduced conservatively for budget projections 2%.</t>
  </si>
  <si>
    <t>Incorrect cell reference in I199.  Should be pulling from Data!C87 which would reflect 10.2%</t>
  </si>
  <si>
    <t>One time funding spending reductions</t>
  </si>
  <si>
    <t>Jodi Jones</t>
  </si>
  <si>
    <t>916-802-5943</t>
  </si>
  <si>
    <t>jodi.jones@ieminc.org</t>
  </si>
  <si>
    <t>One time grant spend down:  ESSER, A-G Access and Educator Effectiveness</t>
  </si>
  <si>
    <t>Charter school is working on spend down over the next five years for reserves built up over the past 10 years.</t>
  </si>
  <si>
    <t xml:space="preserve">2022-23 Increase in state unemployment rate to 2.5% due to covid.  Increased employer pension contributions annually.  </t>
  </si>
  <si>
    <t>Second Interim</t>
  </si>
  <si>
    <t>CEO</t>
  </si>
  <si>
    <t xml:space="preserve">CDE requires spend down of reserves over the next few years.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</si>
</sst>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51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color rgb="FFFF0000"/>
      <name val="Verdana"/>
      <family val="2"/>
    </font>
    <font>
      <sz val="10"/>
      <color rgb="FF00B050"/>
      <name val="Arial"/>
      <family val="2"/>
    </font>
    <font>
      <b/>
      <sz val="10"/>
      <color theme="1"/>
      <name val="Arial Narrow"/>
    </font>
    <font>
      <sz val="10"/>
      <color theme="1"/>
      <name val="Arial Narrow"/>
    </font>
    <font>
      <sz val="10"/>
      <color rgb="FF000000"/>
      <name val="Arial Narrow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603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13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5" fillId="0" borderId="0" xfId="0" applyFont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Continuous"/>
    </xf>
    <xf numFmtId="0" fontId="5" fillId="0" borderId="0" xfId="0" applyFont="1" applyProtection="1">
      <protection locked="0"/>
    </xf>
    <xf numFmtId="0" fontId="16" fillId="0" borderId="0" xfId="0" applyFont="1"/>
    <xf numFmtId="4" fontId="18" fillId="0" borderId="0" xfId="0" applyNumberFormat="1" applyFont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Alignment="1">
      <alignment vertical="center"/>
    </xf>
    <xf numFmtId="0" fontId="18" fillId="0" borderId="0" xfId="0" applyFont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Border="1" applyAlignment="1">
      <alignment horizontal="center"/>
    </xf>
    <xf numFmtId="0" fontId="18" fillId="0" borderId="9" xfId="0" applyFont="1" applyBorder="1"/>
    <xf numFmtId="10" fontId="18" fillId="0" borderId="9" xfId="0" applyNumberFormat="1" applyFont="1" applyBorder="1" applyAlignment="1">
      <alignment horizontal="right"/>
    </xf>
    <xf numFmtId="0" fontId="18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8" fillId="0" borderId="4" xfId="0" applyFont="1" applyBorder="1"/>
    <xf numFmtId="0" fontId="18" fillId="0" borderId="5" xfId="0" applyFont="1" applyBorder="1" applyAlignment="1">
      <alignment horizontal="center"/>
    </xf>
    <xf numFmtId="0" fontId="22" fillId="0" borderId="0" xfId="0" applyFont="1" applyAlignment="1">
      <alignment horizontal="centerContinuous"/>
    </xf>
    <xf numFmtId="0" fontId="20" fillId="0" borderId="0" xfId="0" applyFont="1" applyAlignment="1">
      <alignment horizontal="centerContinuous" wrapText="1"/>
    </xf>
    <xf numFmtId="10" fontId="20" fillId="0" borderId="0" xfId="0" applyNumberFormat="1" applyFont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8" xfId="0" applyFont="1" applyBorder="1" applyAlignment="1">
      <alignment horizontal="left"/>
    </xf>
    <xf numFmtId="0" fontId="18" fillId="0" borderId="13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>
      <alignment horizontal="center"/>
    </xf>
    <xf numFmtId="0" fontId="35" fillId="0" borderId="0" xfId="0" applyFont="1"/>
    <xf numFmtId="0" fontId="22" fillId="0" borderId="0" xfId="0" applyFont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>
      <alignment horizontal="right"/>
    </xf>
    <xf numFmtId="39" fontId="20" fillId="3" borderId="1" xfId="0" applyNumberFormat="1" applyFont="1" applyFill="1" applyBorder="1" applyAlignment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Border="1"/>
    <xf numFmtId="0" fontId="18" fillId="0" borderId="19" xfId="0" applyFont="1" applyBorder="1"/>
    <xf numFmtId="0" fontId="18" fillId="0" borderId="17" xfId="0" applyFont="1" applyBorder="1"/>
    <xf numFmtId="0" fontId="20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3" fillId="0" borderId="0" xfId="0" applyFont="1"/>
    <xf numFmtId="0" fontId="3" fillId="0" borderId="3" xfId="0" applyFont="1" applyBorder="1"/>
    <xf numFmtId="0" fontId="6" fillId="0" borderId="3" xfId="0" applyFont="1" applyBorder="1"/>
    <xf numFmtId="0" fontId="5" fillId="0" borderId="3" xfId="0" quotePrefix="1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19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2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37" fontId="18" fillId="0" borderId="1" xfId="0" applyNumberFormat="1" applyFont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>
      <alignment horizontal="center"/>
    </xf>
    <xf numFmtId="0" fontId="20" fillId="0" borderId="5" xfId="0" applyFont="1" applyBorder="1" applyAlignment="1">
      <alignment horizontal="center"/>
    </xf>
    <xf numFmtId="39" fontId="20" fillId="0" borderId="1" xfId="0" applyNumberFormat="1" applyFont="1" applyBorder="1" applyAlignment="1">
      <alignment horizontal="right"/>
    </xf>
    <xf numFmtId="37" fontId="20" fillId="0" borderId="1" xfId="0" applyNumberFormat="1" applyFont="1" applyBorder="1" applyAlignment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39" fontId="20" fillId="0" borderId="13" xfId="0" applyNumberFormat="1" applyFont="1" applyBorder="1" applyAlignment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10" fontId="20" fillId="0" borderId="0" xfId="3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left" vertical="center"/>
    </xf>
    <xf numFmtId="37" fontId="18" fillId="0" borderId="15" xfId="0" quotePrefix="1" applyNumberFormat="1" applyFont="1" applyBorder="1" applyAlignment="1">
      <alignment horizontal="right"/>
    </xf>
    <xf numFmtId="37" fontId="18" fillId="0" borderId="15" xfId="0" applyNumberFormat="1" applyFont="1" applyBorder="1" applyAlignment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Border="1" applyAlignment="1">
      <alignment horizontal="right"/>
    </xf>
    <xf numFmtId="37" fontId="20" fillId="0" borderId="15" xfId="0" applyNumberFormat="1" applyFont="1" applyBorder="1" applyAlignment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Alignment="1">
      <alignment horizontal="right" vertical="center"/>
    </xf>
    <xf numFmtId="0" fontId="20" fillId="0" borderId="16" xfId="0" quotePrefix="1" applyFont="1" applyBorder="1" applyAlignment="1">
      <alignment horizontal="center" vertical="center"/>
    </xf>
    <xf numFmtId="0" fontId="19" fillId="0" borderId="0" xfId="0" applyFont="1"/>
    <xf numFmtId="0" fontId="25" fillId="0" borderId="38" xfId="0" applyFont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37" fontId="20" fillId="0" borderId="15" xfId="2" applyNumberFormat="1" applyFont="1" applyFill="1" applyBorder="1" applyAlignment="1" applyProtection="1">
      <alignment horizontal="right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Alignment="1">
      <alignment horizontal="center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17" fillId="0" borderId="4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4" fillId="0" borderId="0" xfId="0" applyFont="1" applyAlignment="1">
      <alignment horizontal="center"/>
    </xf>
    <xf numFmtId="41" fontId="20" fillId="0" borderId="0" xfId="0" applyNumberFormat="1" applyFont="1" applyAlignment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Alignment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/>
    <xf numFmtId="167" fontId="8" fillId="0" borderId="0" xfId="0" applyNumberFormat="1" applyFont="1"/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Alignment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/>
    <xf numFmtId="165" fontId="20" fillId="0" borderId="0" xfId="3" applyNumberFormat="1" applyFont="1" applyProtection="1"/>
    <xf numFmtId="167" fontId="19" fillId="0" borderId="0" xfId="0" applyNumberFormat="1" applyFont="1"/>
    <xf numFmtId="167" fontId="18" fillId="0" borderId="0" xfId="0" applyNumberFormat="1" applyFont="1"/>
    <xf numFmtId="44" fontId="18" fillId="4" borderId="0" xfId="2" applyFont="1" applyFill="1" applyBorder="1" applyAlignment="1" applyProtection="1">
      <alignment horizontal="center"/>
    </xf>
    <xf numFmtId="0" fontId="18" fillId="0" borderId="0" xfId="0" applyFont="1" applyAlignment="1">
      <alignment horizontal="right"/>
    </xf>
    <xf numFmtId="0" fontId="18" fillId="0" borderId="38" xfId="0" applyFont="1" applyBorder="1" applyAlignment="1">
      <alignment horizont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16" fontId="18" fillId="0" borderId="1" xfId="0" applyNumberFormat="1" applyFont="1" applyBorder="1" applyAlignment="1">
      <alignment horizontal="center"/>
    </xf>
    <xf numFmtId="16" fontId="20" fillId="0" borderId="1" xfId="0" quotePrefix="1" applyNumberFormat="1" applyFont="1" applyBorder="1" applyAlignment="1">
      <alignment horizontal="center"/>
    </xf>
    <xf numFmtId="16" fontId="18" fillId="5" borderId="1" xfId="0" quotePrefix="1" applyNumberFormat="1" applyFont="1" applyFill="1" applyBorder="1" applyAlignment="1">
      <alignment horizontal="center"/>
    </xf>
    <xf numFmtId="10" fontId="20" fillId="0" borderId="0" xfId="0" quotePrefix="1" applyNumberFormat="1" applyFont="1" applyAlignment="1">
      <alignment horizontal="center"/>
    </xf>
    <xf numFmtId="16" fontId="18" fillId="0" borderId="1" xfId="0" quotePrefix="1" applyNumberFormat="1" applyFont="1" applyBorder="1" applyAlignment="1">
      <alignment horizontal="center"/>
    </xf>
    <xf numFmtId="44" fontId="18" fillId="0" borderId="0" xfId="0" quotePrefix="1" applyNumberFormat="1" applyFont="1" applyAlignment="1">
      <alignment horizontal="center"/>
    </xf>
    <xf numFmtId="0" fontId="18" fillId="0" borderId="13" xfId="0" quotePrefix="1" applyFont="1" applyBorder="1" applyAlignment="1">
      <alignment horizontal="center"/>
    </xf>
    <xf numFmtId="0" fontId="18" fillId="0" borderId="0" xfId="0" applyFont="1" applyAlignment="1">
      <alignment horizontal="left" wrapText="1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20" fillId="0" borderId="2" xfId="0" applyFont="1" applyBorder="1" applyAlignment="1">
      <alignment horizontal="center"/>
    </xf>
    <xf numFmtId="16" fontId="20" fillId="0" borderId="2" xfId="0" quotePrefix="1" applyNumberFormat="1" applyFont="1" applyBorder="1" applyAlignment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>
      <alignment horizontal="center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167" fontId="1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7" fontId="18" fillId="0" borderId="46" xfId="0" applyNumberFormat="1" applyFont="1" applyBorder="1" applyAlignment="1">
      <alignment horizontal="center"/>
    </xf>
    <xf numFmtId="167" fontId="18" fillId="0" borderId="45" xfId="0" applyNumberFormat="1" applyFont="1" applyBorder="1" applyAlignment="1">
      <alignment horizontal="center"/>
    </xf>
    <xf numFmtId="167" fontId="18" fillId="0" borderId="47" xfId="0" applyNumberFormat="1" applyFont="1" applyBorder="1" applyAlignment="1">
      <alignment horizontal="center"/>
    </xf>
    <xf numFmtId="0" fontId="20" fillId="0" borderId="0" xfId="0" quotePrefix="1" applyFont="1" applyAlignment="1">
      <alignment horizontal="left"/>
    </xf>
    <xf numFmtId="167" fontId="2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8" fillId="0" borderId="0" xfId="0" applyFont="1" applyAlignment="1">
      <alignment horizontal="right" wrapText="1"/>
    </xf>
    <xf numFmtId="44" fontId="18" fillId="0" borderId="1" xfId="2" applyFont="1" applyFill="1" applyBorder="1" applyProtection="1"/>
    <xf numFmtId="17" fontId="18" fillId="0" borderId="0" xfId="0" quotePrefix="1" applyNumberFormat="1" applyFont="1" applyAlignment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20" fillId="0" borderId="0" xfId="0" applyFont="1" applyAlignment="1">
      <alignment vertical="top"/>
    </xf>
    <xf numFmtId="0" fontId="22" fillId="0" borderId="0" xfId="0" applyFont="1" applyAlignment="1">
      <alignment horizontal="left"/>
    </xf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Alignment="1">
      <alignment horizontal="right"/>
    </xf>
    <xf numFmtId="0" fontId="42" fillId="0" borderId="0" xfId="0" applyFont="1"/>
    <xf numFmtId="49" fontId="43" fillId="0" borderId="0" xfId="0" applyNumberFormat="1" applyFont="1" applyAlignment="1">
      <alignment horizontal="right"/>
    </xf>
    <xf numFmtId="37" fontId="18" fillId="3" borderId="1" xfId="0" applyNumberFormat="1" applyFont="1" applyFill="1" applyBorder="1" applyAlignment="1">
      <alignment horizontal="right"/>
    </xf>
    <xf numFmtId="37" fontId="20" fillId="3" borderId="1" xfId="0" applyNumberFormat="1" applyFont="1" applyFill="1" applyBorder="1" applyAlignment="1">
      <alignment horizontal="right"/>
    </xf>
    <xf numFmtId="39" fontId="20" fillId="3" borderId="13" xfId="0" applyNumberFormat="1" applyFont="1" applyFill="1" applyBorder="1" applyAlignment="1">
      <alignment horizontal="right"/>
    </xf>
    <xf numFmtId="166" fontId="20" fillId="0" borderId="6" xfId="0" applyNumberFormat="1" applyFont="1" applyBorder="1" applyAlignment="1">
      <alignment horizontal="center"/>
    </xf>
    <xf numFmtId="167" fontId="18" fillId="0" borderId="1" xfId="0" applyNumberFormat="1" applyFont="1" applyBorder="1"/>
    <xf numFmtId="166" fontId="18" fillId="0" borderId="6" xfId="0" applyNumberFormat="1" applyFont="1" applyBorder="1" applyAlignment="1">
      <alignment horizontal="center"/>
    </xf>
    <xf numFmtId="166" fontId="20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6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4" fillId="0" borderId="5" xfId="0" applyFont="1" applyBorder="1" applyAlignment="1">
      <alignment horizontal="left" wrapText="1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>
      <alignment horizontal="center" wrapText="1"/>
    </xf>
    <xf numFmtId="16" fontId="20" fillId="0" borderId="2" xfId="0" applyNumberFormat="1" applyFont="1" applyBorder="1" applyAlignment="1">
      <alignment horizontal="center" wrapText="1"/>
    </xf>
    <xf numFmtId="16" fontId="20" fillId="0" borderId="53" xfId="0" applyNumberFormat="1" applyFont="1" applyBorder="1" applyAlignment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0" fontId="20" fillId="0" borderId="0" xfId="0" applyFont="1" applyAlignment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0" fontId="25" fillId="0" borderId="1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Border="1" applyAlignment="1">
      <alignment horizontal="left" vertical="top" wrapText="1"/>
    </xf>
    <xf numFmtId="49" fontId="18" fillId="0" borderId="0" xfId="0" applyNumberFormat="1" applyFont="1" applyAlignment="1">
      <alignment horizontal="left" vertical="top" wrapText="1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0" fontId="47" fillId="0" borderId="0" xfId="0" quotePrefix="1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48" fillId="0" borderId="0" xfId="0" applyFont="1" applyAlignment="1">
      <alignment horizontal="center"/>
    </xf>
    <xf numFmtId="4" fontId="49" fillId="0" borderId="0" xfId="0" applyNumberFormat="1" applyFont="1"/>
    <xf numFmtId="38" fontId="49" fillId="0" borderId="0" xfId="0" applyNumberFormat="1" applyFont="1"/>
    <xf numFmtId="37" fontId="49" fillId="0" borderId="0" xfId="0" applyNumberFormat="1" applyFont="1"/>
    <xf numFmtId="10" fontId="49" fillId="0" borderId="0" xfId="0" applyNumberFormat="1" applyFont="1"/>
    <xf numFmtId="42" fontId="49" fillId="0" borderId="0" xfId="0" applyNumberFormat="1" applyFont="1"/>
    <xf numFmtId="2" fontId="49" fillId="0" borderId="0" xfId="0" applyNumberFormat="1" applyFont="1"/>
    <xf numFmtId="0" fontId="49" fillId="0" borderId="57" xfId="0" applyFont="1" applyBorder="1"/>
    <xf numFmtId="165" fontId="49" fillId="0" borderId="0" xfId="0" applyNumberFormat="1" applyFont="1"/>
    <xf numFmtId="44" fontId="49" fillId="0" borderId="0" xfId="0" applyNumberFormat="1" applyFont="1"/>
    <xf numFmtId="0" fontId="49" fillId="0" borderId="0" xfId="0" applyFont="1" applyAlignment="1">
      <alignment horizontal="left"/>
    </xf>
    <xf numFmtId="170" fontId="49" fillId="0" borderId="0" xfId="0" applyNumberFormat="1" applyFont="1"/>
    <xf numFmtId="44" fontId="49" fillId="0" borderId="0" xfId="0" applyNumberFormat="1" applyFont="1" applyAlignment="1">
      <alignment horizontal="center"/>
    </xf>
    <xf numFmtId="0" fontId="50" fillId="0" borderId="0" xfId="0" applyFont="1"/>
    <xf numFmtId="44" fontId="50" fillId="0" borderId="0" xfId="0" applyNumberFormat="1" applyFont="1" applyAlignment="1">
      <alignment horizontal="center"/>
    </xf>
    <xf numFmtId="41" fontId="49" fillId="0" borderId="0" xfId="0" applyNumberFormat="1" applyFont="1"/>
    <xf numFmtId="9" fontId="49" fillId="0" borderId="0" xfId="0" applyNumberFormat="1" applyFont="1"/>
    <xf numFmtId="166" fontId="49" fillId="0" borderId="0" xfId="0" applyNumberFormat="1" applyFont="1"/>
    <xf numFmtId="16" fontId="20" fillId="0" borderId="0" xfId="0" quotePrefix="1" applyNumberFormat="1" applyFont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4" fillId="9" borderId="14" xfId="0" applyFont="1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49" fontId="18" fillId="8" borderId="0" xfId="0" applyNumberFormat="1" applyFont="1" applyFill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Alignment="1">
      <alignment horizontal="right"/>
    </xf>
    <xf numFmtId="16" fontId="20" fillId="0" borderId="1" xfId="0" quotePrefix="1" applyNumberFormat="1" applyFont="1" applyBorder="1" applyAlignment="1">
      <alignment horizontal="center"/>
    </xf>
    <xf numFmtId="0" fontId="20" fillId="0" borderId="1" xfId="0" quotePrefix="1" applyFont="1" applyBorder="1" applyAlignment="1">
      <alignment horizontal="center"/>
    </xf>
    <xf numFmtId="0" fontId="20" fillId="0" borderId="6" xfId="0" applyFont="1" applyBorder="1" applyAlignment="1">
      <alignment horizontal="right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8" fillId="0" borderId="0" xfId="0" applyFont="1" applyAlignment="1">
      <alignment horizontal="right"/>
    </xf>
    <xf numFmtId="16" fontId="20" fillId="0" borderId="1" xfId="0" applyNumberFormat="1" applyFont="1" applyBorder="1" applyAlignment="1">
      <alignment horizont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42" fontId="18" fillId="0" borderId="1" xfId="2" applyNumberFormat="1" applyFont="1" applyFill="1" applyBorder="1" applyAlignment="1" applyProtection="1">
      <alignment horizontal="right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top" wrapText="1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left" vertical="center" wrapText="1" indent="2"/>
    </xf>
    <xf numFmtId="0" fontId="18" fillId="0" borderId="6" xfId="0" applyFont="1" applyBorder="1" applyAlignment="1">
      <alignment horizontal="left" vertical="center" wrapText="1" indent="2"/>
    </xf>
    <xf numFmtId="0" fontId="18" fillId="0" borderId="0" xfId="0" quotePrefix="1" applyFont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3" fillId="0" borderId="0" xfId="0" applyFont="1" applyAlignment="1">
      <alignment horizontal="center"/>
    </xf>
    <xf numFmtId="49" fontId="18" fillId="9" borderId="12" xfId="0" applyNumberFormat="1" applyFont="1" applyFill="1" applyBorder="1" applyProtection="1">
      <protection locked="0"/>
    </xf>
    <xf numFmtId="49" fontId="18" fillId="9" borderId="11" xfId="0" applyNumberFormat="1" applyFont="1" applyFill="1" applyBorder="1" applyProtection="1">
      <protection locked="0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8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12" fillId="0" borderId="14" xfId="0" applyFont="1" applyBorder="1"/>
    <xf numFmtId="0" fontId="12" fillId="0" borderId="11" xfId="0" applyFont="1" applyBorder="1"/>
    <xf numFmtId="0" fontId="18" fillId="0" borderId="6" xfId="0" applyFont="1" applyBorder="1" applyAlignment="1">
      <alignment horizontal="right"/>
    </xf>
    <xf numFmtId="0" fontId="25" fillId="12" borderId="0" xfId="0" applyFont="1" applyFill="1" applyAlignment="1">
      <alignment wrapText="1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3" xfId="0" quotePrefix="1" applyNumberFormat="1" applyFont="1" applyBorder="1" applyAlignment="1">
      <alignment horizontal="center"/>
    </xf>
    <xf numFmtId="16" fontId="20" fillId="0" borderId="13" xfId="0" applyNumberFormat="1" applyFont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>
      <alignment horizontal="left"/>
    </xf>
    <xf numFmtId="0" fontId="18" fillId="0" borderId="18" xfId="0" quotePrefix="1" applyFont="1" applyBorder="1" applyAlignment="1">
      <alignment horizontal="left"/>
    </xf>
    <xf numFmtId="0" fontId="18" fillId="0" borderId="19" xfId="0" quotePrefix="1" applyFont="1" applyBorder="1" applyAlignment="1">
      <alignment horizontal="lef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55" xfId="0" applyFont="1" applyBorder="1" applyAlignment="1">
      <alignment horizontal="center" vertical="center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94">
    <dxf>
      <fill>
        <patternFill patternType="none"/>
      </fill>
    </dxf>
    <dxf>
      <fill>
        <patternFill patternType="none"/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1710</c:v>
                </c:pt>
                <c:pt idx="1">
                  <c:v>1781</c:v>
                </c:pt>
                <c:pt idx="2">
                  <c:v>2185</c:v>
                </c:pt>
                <c:pt idx="3">
                  <c:v>2155</c:v>
                </c:pt>
                <c:pt idx="4">
                  <c:v>2166</c:v>
                </c:pt>
                <c:pt idx="5">
                  <c:v>2166</c:v>
                </c:pt>
                <c:pt idx="6">
                  <c:v>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1724.8</c:v>
                </c:pt>
                <c:pt idx="1">
                  <c:v>1806.01</c:v>
                </c:pt>
                <c:pt idx="2">
                  <c:v>1806.01</c:v>
                </c:pt>
                <c:pt idx="3">
                  <c:v>2118.83</c:v>
                </c:pt>
                <c:pt idx="4">
                  <c:v>2170.6099999999997</c:v>
                </c:pt>
                <c:pt idx="5">
                  <c:v>2170.6099999999997</c:v>
                </c:pt>
                <c:pt idx="6">
                  <c:v>2170.6099999999997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hared%20drives/FIN%20-%20Payroll%20Project/SM%20SIB/Final%20Sky%20Mountain%2022-23%20BUDGETandINTERIMReporting-SI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DGET-CHECKLIST"/>
      <sheetName val="BUDGET-CERTIFICATION"/>
      <sheetName val="Budget-ADA"/>
      <sheetName val="Budget-Assumptions"/>
      <sheetName val="Budget-Summary MYP"/>
      <sheetName val="Budget-Restricted MYP"/>
      <sheetName val="Budget-Unrestricted MYP"/>
      <sheetName val="Budget-Cash Flow Year 1"/>
      <sheetName val="Budget-DEBT"/>
      <sheetName val="Budget Data"/>
      <sheetName val="INTERIM-CHECKLIST"/>
      <sheetName val="INTERIM-CERTIFICATION"/>
      <sheetName val="1st Interim-ADA"/>
      <sheetName val="1st Interim-Unrestricted MYP"/>
      <sheetName val="1st Interim-Restricted MYP"/>
      <sheetName val="1st Interim-Summary MYP"/>
      <sheetName val="1st Interim-Cash Flow Year 1"/>
      <sheetName val="Budget-Cash Flow Year 2"/>
      <sheetName val="1st Interim-Cash Flow Year 2"/>
      <sheetName val="1st Interim Data"/>
      <sheetName val="1st Interim-DEBT"/>
      <sheetName val="2nd Interim-Summary MYP"/>
      <sheetName val="2nd Interim-Restricted MYP"/>
      <sheetName val="2nd Interim-Unrestricted MYP"/>
      <sheetName val="1st Interim-Assumptions"/>
      <sheetName val="2nd Interim-Assumptions"/>
      <sheetName val="2nd Interim-Cash Flow Year 1"/>
      <sheetName val="2nd Interim-Cash Flow Year 2"/>
      <sheetName val="2nd Interim-ADA"/>
      <sheetName val="2nd Interim-DEBT"/>
      <sheetName val="2nd Interim Data"/>
    </sheetNames>
    <sheetDataSet>
      <sheetData sheetId="0"/>
      <sheetData sheetId="1"/>
      <sheetData sheetId="2">
        <row r="1">
          <cell r="H1" t="str">
            <v>Sky Mountain Charter School</v>
          </cell>
        </row>
        <row r="3">
          <cell r="H3" t="str">
            <v>Lucerne Valley</v>
          </cell>
        </row>
      </sheetData>
      <sheetData sheetId="3">
        <row r="7">
          <cell r="K7" t="str">
            <v>2022-23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1">
          <cell r="E71">
            <v>0.25538045791818326</v>
          </cell>
          <cell r="H71">
            <v>0.40382652601446611</v>
          </cell>
          <cell r="J71">
            <v>0.35875965344077027</v>
          </cell>
          <cell r="L71">
            <v>0.31626990812978933</v>
          </cell>
        </row>
        <row r="73">
          <cell r="E73">
            <v>0.03</v>
          </cell>
          <cell r="H73">
            <v>0.03</v>
          </cell>
          <cell r="J73">
            <v>0.03</v>
          </cell>
          <cell r="L73">
            <v>0.03</v>
          </cell>
        </row>
        <row r="80">
          <cell r="E80">
            <v>0</v>
          </cell>
          <cell r="H80">
            <v>0</v>
          </cell>
          <cell r="J80">
            <v>8.0000000000000002E-3</v>
          </cell>
          <cell r="L80">
            <v>3.1E-2</v>
          </cell>
        </row>
        <row r="81">
          <cell r="E81">
            <v>8.5000000000000006E-2</v>
          </cell>
          <cell r="H81">
            <v>0.13500000000000001</v>
          </cell>
          <cell r="J81">
            <v>0.12</v>
          </cell>
          <cell r="L81">
            <v>0.105</v>
          </cell>
        </row>
      </sheetData>
      <sheetData sheetId="23">
        <row r="26">
          <cell r="E26">
            <v>4196132.1568170004</v>
          </cell>
          <cell r="H26">
            <v>6088172.7264802</v>
          </cell>
          <cell r="J26">
            <v>4148248.4595801998</v>
          </cell>
          <cell r="L26">
            <v>4344180.6266139401</v>
          </cell>
        </row>
        <row r="29">
          <cell r="E29">
            <v>1581370</v>
          </cell>
          <cell r="H29">
            <v>1537390</v>
          </cell>
          <cell r="J29">
            <v>1714189.85</v>
          </cell>
          <cell r="L29">
            <v>1851325.0380000002</v>
          </cell>
        </row>
        <row r="30">
          <cell r="E30">
            <v>4535</v>
          </cell>
          <cell r="H30">
            <v>54516</v>
          </cell>
          <cell r="J30">
            <v>60785.34</v>
          </cell>
          <cell r="L30">
            <v>65648.167199999996</v>
          </cell>
        </row>
        <row r="31">
          <cell r="E31">
            <v>567915</v>
          </cell>
          <cell r="H31">
            <v>601296</v>
          </cell>
          <cell r="J31">
            <v>682470.96</v>
          </cell>
          <cell r="L31">
            <v>754130.41079999995</v>
          </cell>
        </row>
        <row r="32">
          <cell r="E32">
            <v>412543</v>
          </cell>
          <cell r="H32">
            <v>918208</v>
          </cell>
          <cell r="J32">
            <v>297513</v>
          </cell>
          <cell r="L32">
            <v>222196</v>
          </cell>
        </row>
        <row r="33">
          <cell r="E33">
            <v>2775431</v>
          </cell>
          <cell r="H33">
            <v>2407301</v>
          </cell>
          <cell r="J33">
            <v>2299885.08</v>
          </cell>
          <cell r="L33">
            <v>2146251.8864000002</v>
          </cell>
        </row>
        <row r="34">
          <cell r="E34">
            <v>0</v>
          </cell>
        </row>
        <row r="35">
          <cell r="E35">
            <v>192365</v>
          </cell>
          <cell r="H35">
            <v>159485</v>
          </cell>
          <cell r="J35">
            <v>172243.80000000002</v>
          </cell>
          <cell r="L35">
            <v>177411.11400000003</v>
          </cell>
        </row>
        <row r="36">
          <cell r="E36">
            <v>0</v>
          </cell>
        </row>
        <row r="37">
          <cell r="E37">
            <v>5534159</v>
          </cell>
          <cell r="H37">
            <v>5678196</v>
          </cell>
          <cell r="J37">
            <v>5227088.03</v>
          </cell>
          <cell r="L37">
            <v>5216962.6164000006</v>
          </cell>
        </row>
        <row r="42">
          <cell r="E42">
            <v>687220</v>
          </cell>
          <cell r="H42">
            <v>461363</v>
          </cell>
          <cell r="J42">
            <v>514419.745</v>
          </cell>
          <cell r="L42">
            <v>565861.71950000001</v>
          </cell>
        </row>
        <row r="43">
          <cell r="E43">
            <v>0</v>
          </cell>
        </row>
        <row r="49">
          <cell r="E49">
            <v>932568</v>
          </cell>
          <cell r="H49">
            <v>932568</v>
          </cell>
        </row>
        <row r="50">
          <cell r="H50">
            <v>-932568</v>
          </cell>
        </row>
        <row r="54">
          <cell r="H54">
            <v>0</v>
          </cell>
          <cell r="J54">
            <v>871340</v>
          </cell>
          <cell r="L54">
            <v>306920</v>
          </cell>
        </row>
        <row r="55">
          <cell r="E55">
            <v>281761.15999999997</v>
          </cell>
          <cell r="H55">
            <v>871340</v>
          </cell>
          <cell r="J55">
            <v>306920</v>
          </cell>
          <cell r="L55">
            <v>0</v>
          </cell>
        </row>
        <row r="149">
          <cell r="H149">
            <v>0.1021</v>
          </cell>
          <cell r="J149">
            <v>0.1021</v>
          </cell>
          <cell r="L149">
            <v>0.1021</v>
          </cell>
        </row>
        <row r="150">
          <cell r="E150" t="str">
            <v>Sonoma Charter SELPA</v>
          </cell>
        </row>
        <row r="151">
          <cell r="H151">
            <v>1607387</v>
          </cell>
          <cell r="J151">
            <v>1738067.5630999999</v>
          </cell>
          <cell r="L151">
            <v>1799595.1548337401</v>
          </cell>
        </row>
        <row r="152">
          <cell r="H152">
            <v>1811937</v>
          </cell>
          <cell r="J152">
            <v>1841427.595</v>
          </cell>
          <cell r="L152">
            <v>1965495.61855</v>
          </cell>
        </row>
        <row r="153">
          <cell r="H153">
            <v>461363</v>
          </cell>
          <cell r="J153">
            <v>514419.745</v>
          </cell>
          <cell r="L153">
            <v>565861.71950000001</v>
          </cell>
        </row>
        <row r="154">
          <cell r="H154">
            <v>3880687</v>
          </cell>
          <cell r="J154">
            <v>4093914.9030999998</v>
          </cell>
          <cell r="L154">
            <v>4330952.49288374</v>
          </cell>
        </row>
        <row r="155">
          <cell r="H155">
            <v>3880687</v>
          </cell>
          <cell r="J155">
            <v>4093914.9030999998</v>
          </cell>
          <cell r="L155">
            <v>4330952.49288374</v>
          </cell>
        </row>
      </sheetData>
      <sheetData sheetId="24">
        <row r="13">
          <cell r="E13">
            <v>13378518</v>
          </cell>
          <cell r="H13">
            <v>17099993</v>
          </cell>
          <cell r="J13">
            <v>24955993</v>
          </cell>
          <cell r="L13">
            <v>25856717</v>
          </cell>
        </row>
        <row r="14">
          <cell r="E14">
            <v>7791813</v>
          </cell>
        </row>
        <row r="15">
          <cell r="E15">
            <v>0</v>
          </cell>
        </row>
        <row r="16">
          <cell r="E16">
            <v>566003</v>
          </cell>
          <cell r="H16">
            <v>578837</v>
          </cell>
          <cell r="J16">
            <v>578837</v>
          </cell>
          <cell r="L16">
            <v>578837</v>
          </cell>
        </row>
        <row r="26">
          <cell r="E26">
            <v>22657732.997033399</v>
          </cell>
          <cell r="H26">
            <v>24945755.744502001</v>
          </cell>
          <cell r="J26">
            <v>26873141.744502001</v>
          </cell>
          <cell r="L26">
            <v>27773865.744502001</v>
          </cell>
        </row>
        <row r="29">
          <cell r="E29">
            <v>7493809</v>
          </cell>
          <cell r="H29">
            <v>7674076</v>
          </cell>
          <cell r="J29">
            <v>8756594.7400000002</v>
          </cell>
          <cell r="L29">
            <v>9457122.3192000017</v>
          </cell>
        </row>
        <row r="30">
          <cell r="E30">
            <v>330754</v>
          </cell>
          <cell r="H30">
            <v>374086</v>
          </cell>
          <cell r="J30">
            <v>442105.89</v>
          </cell>
          <cell r="L30">
            <v>477474.36120000004</v>
          </cell>
        </row>
        <row r="31">
          <cell r="E31">
            <v>3023728</v>
          </cell>
          <cell r="H31">
            <v>3127138</v>
          </cell>
          <cell r="J31">
            <v>3643115.77</v>
          </cell>
          <cell r="L31">
            <v>4025642.9258499998</v>
          </cell>
        </row>
        <row r="32">
          <cell r="E32">
            <v>3678913</v>
          </cell>
          <cell r="H32">
            <v>3747528</v>
          </cell>
          <cell r="J32">
            <v>4047330.24</v>
          </cell>
          <cell r="L32">
            <v>3868750.1472000005</v>
          </cell>
        </row>
        <row r="33">
          <cell r="E33">
            <v>6556941</v>
          </cell>
          <cell r="H33">
            <v>8275472</v>
          </cell>
          <cell r="J33">
            <v>9820264.4800000004</v>
          </cell>
          <cell r="L33">
            <v>10405885.638400001</v>
          </cell>
        </row>
        <row r="34">
          <cell r="E34">
            <v>23575</v>
          </cell>
          <cell r="H34">
            <v>23575</v>
          </cell>
          <cell r="J34">
            <v>23575</v>
          </cell>
          <cell r="L34">
            <v>23575</v>
          </cell>
        </row>
        <row r="35">
          <cell r="E35">
            <v>-192365</v>
          </cell>
          <cell r="H35">
            <v>-159485</v>
          </cell>
          <cell r="J35">
            <v>-172243.80000000002</v>
          </cell>
          <cell r="L35">
            <v>-177411.11400000003</v>
          </cell>
        </row>
        <row r="36">
          <cell r="E36">
            <v>0</v>
          </cell>
        </row>
        <row r="37">
          <cell r="E37">
            <v>20915355</v>
          </cell>
          <cell r="H37">
            <v>23062390</v>
          </cell>
          <cell r="J37">
            <v>26560742.32</v>
          </cell>
          <cell r="L37">
            <v>28081039.277850002</v>
          </cell>
        </row>
        <row r="42">
          <cell r="E42">
            <v>-687220</v>
          </cell>
          <cell r="H42">
            <v>-461363</v>
          </cell>
          <cell r="J42">
            <v>-514419.745</v>
          </cell>
          <cell r="L42">
            <v>-565861.71950000001</v>
          </cell>
        </row>
        <row r="43">
          <cell r="E43">
            <v>0</v>
          </cell>
        </row>
        <row r="49">
          <cell r="E49">
            <v>12579531</v>
          </cell>
          <cell r="H49">
            <v>12579531</v>
          </cell>
        </row>
        <row r="50">
          <cell r="H50">
            <v>2522089</v>
          </cell>
        </row>
        <row r="51">
          <cell r="H51">
            <v>15101620</v>
          </cell>
        </row>
        <row r="52">
          <cell r="H52">
            <v>1382588</v>
          </cell>
        </row>
        <row r="53">
          <cell r="H53">
            <v>0</v>
          </cell>
        </row>
        <row r="54">
          <cell r="H54">
            <v>16484208</v>
          </cell>
          <cell r="J54">
            <v>17906211</v>
          </cell>
          <cell r="L54">
            <v>17704191</v>
          </cell>
        </row>
        <row r="55">
          <cell r="E55">
            <v>13634688.997033399</v>
          </cell>
          <cell r="H55">
            <v>17906211</v>
          </cell>
          <cell r="J55">
            <v>17704191</v>
          </cell>
          <cell r="L55">
            <v>16831156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5">
          <cell r="E65">
            <v>0</v>
          </cell>
        </row>
        <row r="66">
          <cell r="E66">
            <v>0</v>
          </cell>
        </row>
        <row r="69">
          <cell r="E69">
            <v>1045767.75</v>
          </cell>
          <cell r="H69">
            <v>1153119.5</v>
          </cell>
          <cell r="J69">
            <v>1328037.1160000002</v>
          </cell>
          <cell r="L69">
            <v>1404051.9638925001</v>
          </cell>
        </row>
        <row r="70">
          <cell r="E70">
            <v>5708921.2470333986</v>
          </cell>
          <cell r="H70">
            <v>10453091.5</v>
          </cell>
          <cell r="J70">
            <v>10076153.884</v>
          </cell>
          <cell r="L70">
            <v>9127104.0361074992</v>
          </cell>
        </row>
      </sheetData>
      <sheetData sheetId="25"/>
      <sheetData sheetId="26">
        <row r="11">
          <cell r="G11">
            <v>23607444</v>
          </cell>
          <cell r="H11">
            <v>25534830</v>
          </cell>
          <cell r="J11">
            <v>26435554</v>
          </cell>
        </row>
        <row r="24">
          <cell r="F24">
            <v>2155</v>
          </cell>
          <cell r="G24">
            <v>2166</v>
          </cell>
          <cell r="H24">
            <v>2166</v>
          </cell>
          <cell r="J24">
            <v>2166</v>
          </cell>
        </row>
        <row r="27">
          <cell r="F27">
            <v>739</v>
          </cell>
          <cell r="G27">
            <v>739</v>
          </cell>
          <cell r="H27">
            <v>739</v>
          </cell>
          <cell r="J27">
            <v>739</v>
          </cell>
        </row>
        <row r="28">
          <cell r="F28">
            <v>0.33879999999999999</v>
          </cell>
          <cell r="G28">
            <v>0.34010000000000001</v>
          </cell>
          <cell r="H28">
            <v>0.34179999999999999</v>
          </cell>
          <cell r="J28">
            <v>0.3412</v>
          </cell>
        </row>
        <row r="31">
          <cell r="G31">
            <v>103.14285714285714</v>
          </cell>
          <cell r="H31">
            <v>107.14285714285714</v>
          </cell>
          <cell r="J31">
            <v>107.14285714285714</v>
          </cell>
        </row>
        <row r="32">
          <cell r="G32">
            <v>2.5</v>
          </cell>
          <cell r="H32">
            <v>2.5</v>
          </cell>
          <cell r="J32">
            <v>2.5</v>
          </cell>
        </row>
        <row r="33">
          <cell r="G33">
            <v>16</v>
          </cell>
          <cell r="H33">
            <v>16</v>
          </cell>
          <cell r="J33">
            <v>16</v>
          </cell>
        </row>
        <row r="36">
          <cell r="G36">
            <v>70038</v>
          </cell>
          <cell r="H36">
            <v>78092.37</v>
          </cell>
          <cell r="J36">
            <v>84339.759600000005</v>
          </cell>
        </row>
        <row r="37">
          <cell r="G37">
            <v>106766</v>
          </cell>
          <cell r="H37">
            <v>119044.09</v>
          </cell>
          <cell r="J37">
            <v>128567.61720000001</v>
          </cell>
        </row>
        <row r="41">
          <cell r="G41">
            <v>18600</v>
          </cell>
          <cell r="H41">
            <v>18600</v>
          </cell>
          <cell r="J41">
            <v>18600</v>
          </cell>
        </row>
        <row r="43">
          <cell r="G43">
            <v>0.191</v>
          </cell>
          <cell r="H43">
            <v>0.191</v>
          </cell>
          <cell r="J43">
            <v>0.191</v>
          </cell>
        </row>
        <row r="51">
          <cell r="G51">
            <v>3.5</v>
          </cell>
          <cell r="H51">
            <v>4</v>
          </cell>
          <cell r="J51">
            <v>4</v>
          </cell>
        </row>
        <row r="53">
          <cell r="G53">
            <v>42315</v>
          </cell>
          <cell r="H53">
            <v>47181.224999999999</v>
          </cell>
          <cell r="J53">
            <v>50955.723000000005</v>
          </cell>
        </row>
        <row r="57">
          <cell r="G57">
            <v>18600</v>
          </cell>
          <cell r="H57">
            <v>18600</v>
          </cell>
          <cell r="J57">
            <v>18600</v>
          </cell>
        </row>
        <row r="59">
          <cell r="G59">
            <v>0.25669999999999998</v>
          </cell>
          <cell r="H59">
            <v>0.252</v>
          </cell>
          <cell r="J59">
            <v>0.246</v>
          </cell>
        </row>
        <row r="67">
          <cell r="G67">
            <v>6.2E-2</v>
          </cell>
          <cell r="H67">
            <v>6.2E-2</v>
          </cell>
          <cell r="J67">
            <v>6.2E-2</v>
          </cell>
        </row>
        <row r="68">
          <cell r="G68">
            <v>1.4500000000000001E-2</v>
          </cell>
          <cell r="H68">
            <v>1.4500000000000001E-2</v>
          </cell>
          <cell r="J68">
            <v>1.4500000000000001E-2</v>
          </cell>
        </row>
        <row r="69">
          <cell r="G69">
            <v>0.05</v>
          </cell>
          <cell r="H69">
            <v>0.05</v>
          </cell>
          <cell r="J69">
            <v>0.05</v>
          </cell>
        </row>
        <row r="70">
          <cell r="G70">
            <v>1.0999999999999999E-2</v>
          </cell>
          <cell r="H70">
            <v>1.0999999999999999E-2</v>
          </cell>
          <cell r="J70">
            <v>1.0999999999999999E-2</v>
          </cell>
        </row>
        <row r="82">
          <cell r="G82">
            <v>708223.32</v>
          </cell>
          <cell r="H82">
            <v>766044.9</v>
          </cell>
          <cell r="J82">
            <v>793066.62</v>
          </cell>
        </row>
      </sheetData>
      <sheetData sheetId="27">
        <row r="6">
          <cell r="E6">
            <v>11002828</v>
          </cell>
        </row>
        <row r="60">
          <cell r="E60">
            <v>16301936</v>
          </cell>
          <cell r="G60">
            <v>15368447</v>
          </cell>
          <cell r="I60">
            <v>14117933</v>
          </cell>
          <cell r="K60">
            <v>14808236</v>
          </cell>
          <cell r="M60">
            <v>15252988</v>
          </cell>
          <cell r="O60">
            <v>15683686</v>
          </cell>
          <cell r="Q60">
            <v>17340976</v>
          </cell>
          <cell r="S60">
            <v>17268892.057142857</v>
          </cell>
          <cell r="U60">
            <v>17461290.114285715</v>
          </cell>
          <cell r="W60">
            <v>17751873.171428572</v>
          </cell>
          <cell r="Y60">
            <v>17742456.22857143</v>
          </cell>
          <cell r="AA60">
            <v>19191617.785714287</v>
          </cell>
        </row>
      </sheetData>
      <sheetData sheetId="28">
        <row r="6">
          <cell r="E6">
            <v>19191617.785714287</v>
          </cell>
        </row>
        <row r="60">
          <cell r="E60">
            <v>15031546.694307769</v>
          </cell>
          <cell r="G60">
            <v>14330875.443072656</v>
          </cell>
          <cell r="I60">
            <v>13800885.967885543</v>
          </cell>
          <cell r="K60">
            <v>14333852.24282393</v>
          </cell>
          <cell r="M60">
            <v>14770466.116636818</v>
          </cell>
          <cell r="O60">
            <v>15412543.025449706</v>
          </cell>
          <cell r="Q60">
            <v>15484044.284909923</v>
          </cell>
          <cell r="S60">
            <v>15870426.835624591</v>
          </cell>
          <cell r="U60">
            <v>16462272.421339259</v>
          </cell>
          <cell r="W60">
            <v>16982981.554799475</v>
          </cell>
          <cell r="Y60">
            <v>17369364.105514143</v>
          </cell>
          <cell r="AA60">
            <v>18334583.656228811</v>
          </cell>
        </row>
      </sheetData>
      <sheetData sheetId="29">
        <row r="76">
          <cell r="J76">
            <v>2118.83</v>
          </cell>
          <cell r="O76">
            <v>2170.6099999999997</v>
          </cell>
          <cell r="R76">
            <v>2170.6099999999997</v>
          </cell>
          <cell r="U76">
            <v>2170.6099999999997</v>
          </cell>
        </row>
      </sheetData>
      <sheetData sheetId="30">
        <row r="15">
          <cell r="A15" t="str">
            <v>State School Building Loans</v>
          </cell>
        </row>
        <row r="16">
          <cell r="A16" t="str">
            <v>Charter School Start-up Loans</v>
          </cell>
        </row>
        <row r="17">
          <cell r="A17" t="str">
            <v>Other Post Employment Benefits</v>
          </cell>
        </row>
        <row r="18">
          <cell r="A18" t="str">
            <v>Compensated Absences</v>
          </cell>
        </row>
        <row r="19">
          <cell r="A19" t="str">
            <v>Bank Line of Credit Loans</v>
          </cell>
        </row>
        <row r="20">
          <cell r="A20" t="str">
            <v>Municipal Lease</v>
          </cell>
        </row>
        <row r="21">
          <cell r="A21" t="str">
            <v>Capital Lease</v>
          </cell>
        </row>
        <row r="22">
          <cell r="A22" t="str">
            <v>Capital Lease</v>
          </cell>
        </row>
        <row r="23">
          <cell r="A23" t="str">
            <v>Capital Lease</v>
          </cell>
        </row>
        <row r="24">
          <cell r="A24" t="str">
            <v>Inter-Agency Borrowing</v>
          </cell>
        </row>
        <row r="25">
          <cell r="A25" t="str">
            <v>Other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000-EA4C-4914-A55F-D31EFF9D9591}">
  <sheetPr>
    <tabColor rgb="FFFFFF00"/>
  </sheetPr>
  <dimension ref="A1:B29"/>
  <sheetViews>
    <sheetView workbookViewId="0">
      <selection activeCell="A15" sqref="A15"/>
    </sheetView>
  </sheetViews>
  <sheetFormatPr baseColWidth="10" defaultColWidth="8.83203125" defaultRowHeight="13" x14ac:dyDescent="0.15"/>
  <cols>
    <col min="1" max="1" width="130" customWidth="1"/>
    <col min="2" max="2" width="11.33203125" bestFit="1" customWidth="1"/>
  </cols>
  <sheetData>
    <row r="1" spans="1:2" x14ac:dyDescent="0.15">
      <c r="B1" s="290" t="s">
        <v>262</v>
      </c>
    </row>
    <row r="2" spans="1:2" x14ac:dyDescent="0.15">
      <c r="A2" s="87" t="s">
        <v>224</v>
      </c>
    </row>
    <row r="3" spans="1:2" x14ac:dyDescent="0.15">
      <c r="A3" s="85" t="s">
        <v>225</v>
      </c>
    </row>
    <row r="4" spans="1:2" x14ac:dyDescent="0.15">
      <c r="A4" s="127" t="s">
        <v>223</v>
      </c>
    </row>
    <row r="6" spans="1:2" x14ac:dyDescent="0.15">
      <c r="A6" s="87" t="s">
        <v>226</v>
      </c>
    </row>
    <row r="7" spans="1:2" x14ac:dyDescent="0.15">
      <c r="A7" s="85"/>
    </row>
    <row r="8" spans="1:2" x14ac:dyDescent="0.15">
      <c r="A8" s="128" t="s">
        <v>218</v>
      </c>
    </row>
    <row r="9" spans="1:2" x14ac:dyDescent="0.15">
      <c r="A9" s="85" t="s">
        <v>219</v>
      </c>
    </row>
    <row r="11" spans="1:2" x14ac:dyDescent="0.15">
      <c r="A11" s="85" t="s">
        <v>220</v>
      </c>
    </row>
    <row r="13" spans="1:2" x14ac:dyDescent="0.15">
      <c r="A13" s="85" t="s">
        <v>221</v>
      </c>
    </row>
    <row r="15" spans="1:2" x14ac:dyDescent="0.15">
      <c r="A15" s="85" t="s">
        <v>222</v>
      </c>
    </row>
    <row r="18" spans="1:1" x14ac:dyDescent="0.15">
      <c r="A18" s="87" t="s">
        <v>228</v>
      </c>
    </row>
    <row r="19" spans="1:1" s="130" customFormat="1" ht="33" customHeight="1" x14ac:dyDescent="0.15">
      <c r="A19" s="129" t="s">
        <v>229</v>
      </c>
    </row>
    <row r="20" spans="1:1" s="130" customFormat="1" ht="19.5" customHeight="1" x14ac:dyDescent="0.15">
      <c r="A20" s="131" t="s">
        <v>227</v>
      </c>
    </row>
    <row r="22" spans="1:1" x14ac:dyDescent="0.15">
      <c r="A22" s="291" t="s">
        <v>237</v>
      </c>
    </row>
    <row r="23" spans="1:1" x14ac:dyDescent="0.15">
      <c r="A23" s="418" t="s">
        <v>260</v>
      </c>
    </row>
    <row r="24" spans="1:1" x14ac:dyDescent="0.15">
      <c r="A24" s="419" t="s">
        <v>258</v>
      </c>
    </row>
    <row r="25" spans="1:1" x14ac:dyDescent="0.15">
      <c r="A25" s="419" t="s">
        <v>261</v>
      </c>
    </row>
    <row r="26" spans="1:1" x14ac:dyDescent="0.15">
      <c r="A26" s="85"/>
    </row>
    <row r="27" spans="1:1" x14ac:dyDescent="0.15">
      <c r="A27" s="85"/>
    </row>
    <row r="28" spans="1:1" x14ac:dyDescent="0.15">
      <c r="A28" s="85"/>
    </row>
    <row r="29" spans="1:1" x14ac:dyDescent="0.15">
      <c r="A29" s="85"/>
    </row>
  </sheetData>
  <sheetProtection algorithmName="SHA-512" hashValue="ZdLVtkl+mDiDikMWPuBNDTXPn6TH9adPXNCxxIpmuuyrjD/jy7gl8Za5Sya/LH64CErdJDVHUrZMxn6OHPb6WA==" saltValue="NIFwD9Ln9idk04/Ewsd7vQ==" spinCount="100000" sheet="1" objects="1" scenarios="1"/>
  <hyperlinks>
    <hyperlink ref="A4" r:id="rId1" xr:uid="{9B4BCB6B-1C8B-4CE9-BF0F-E55C195E65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FFFF"/>
    <pageSetUpPr fitToPage="1"/>
  </sheetPr>
  <dimension ref="A1:R422"/>
  <sheetViews>
    <sheetView tabSelected="1" view="pageBreakPreview" zoomScaleNormal="100" zoomScaleSheetLayoutView="100" workbookViewId="0">
      <selection activeCell="H108" sqref="H108"/>
    </sheetView>
  </sheetViews>
  <sheetFormatPr baseColWidth="10" defaultColWidth="9.1640625" defaultRowHeight="17" customHeight="1" x14ac:dyDescent="0.2"/>
  <cols>
    <col min="1" max="1" width="1.6640625" style="1" customWidth="1"/>
    <col min="2" max="2" width="14" style="1" customWidth="1"/>
    <col min="3" max="4" width="20.83203125" style="1" customWidth="1"/>
    <col min="5" max="6" width="20.83203125" style="3" customWidth="1"/>
    <col min="7" max="7" width="22.1640625" style="5" customWidth="1"/>
    <col min="8" max="8" width="19.5" style="8" customWidth="1"/>
    <col min="9" max="9" width="19.5" style="5" customWidth="1"/>
    <col min="10" max="10" width="15.6640625" style="1" customWidth="1"/>
    <col min="11" max="11" width="4.83203125" style="1" customWidth="1"/>
    <col min="12" max="12" width="10" style="1" customWidth="1"/>
    <col min="13" max="13" width="9.1640625" style="1" customWidth="1"/>
    <col min="14" max="15" width="9.1640625" style="1"/>
    <col min="16" max="16" width="16.6640625" style="1" customWidth="1"/>
    <col min="17" max="16384" width="9.1640625" style="1"/>
  </cols>
  <sheetData>
    <row r="1" spans="1:18" s="2" customFormat="1" ht="17" customHeight="1" x14ac:dyDescent="0.2">
      <c r="A1" s="132" t="s">
        <v>0</v>
      </c>
      <c r="B1" s="133"/>
      <c r="C1" s="133"/>
      <c r="D1" s="133"/>
      <c r="E1" s="133"/>
      <c r="F1" s="133"/>
      <c r="G1" s="134"/>
      <c r="H1" s="134"/>
      <c r="I1" s="134"/>
      <c r="J1" s="134"/>
      <c r="K1" s="1"/>
      <c r="L1" s="1"/>
      <c r="M1" s="136"/>
    </row>
    <row r="2" spans="1:18" s="2" customFormat="1" ht="17" customHeight="1" x14ac:dyDescent="0.2">
      <c r="A2" s="505" t="s">
        <v>1</v>
      </c>
      <c r="B2" s="505"/>
      <c r="C2" s="505"/>
      <c r="D2" s="505"/>
      <c r="E2" s="505"/>
      <c r="F2" s="505"/>
      <c r="G2" s="505"/>
      <c r="H2" s="505"/>
      <c r="I2" s="505"/>
      <c r="J2" s="505"/>
      <c r="K2" s="1"/>
      <c r="L2" s="1"/>
      <c r="M2" s="136"/>
    </row>
    <row r="3" spans="1:18" s="2" customFormat="1" ht="17" customHeight="1" x14ac:dyDescent="0.2">
      <c r="A3" s="135"/>
      <c r="B3" s="133"/>
      <c r="C3" s="133"/>
      <c r="D3" s="133"/>
      <c r="E3" s="133"/>
      <c r="F3" s="133"/>
      <c r="G3" s="1"/>
      <c r="H3" s="1"/>
      <c r="I3" s="136"/>
      <c r="J3" s="292" t="str">
        <f>Instructions!B1</f>
        <v>Rev 11/3/2022</v>
      </c>
    </row>
    <row r="4" spans="1:18" s="2" customFormat="1" ht="24" customHeight="1" x14ac:dyDescent="0.2">
      <c r="A4" s="137" t="s">
        <v>2</v>
      </c>
      <c r="B4" s="138"/>
      <c r="C4" s="139"/>
      <c r="D4" s="511" t="str">
        <f>Data!A3</f>
        <v>2022-23</v>
      </c>
      <c r="E4" s="512"/>
      <c r="F4" s="512"/>
      <c r="G4" s="513"/>
      <c r="H4" s="1"/>
    </row>
    <row r="5" spans="1:18" s="2" customFormat="1" ht="24" customHeight="1" x14ac:dyDescent="0.2">
      <c r="A5" s="140" t="s">
        <v>4</v>
      </c>
      <c r="B5" s="140"/>
      <c r="D5" s="511" t="str">
        <f>Data!A1</f>
        <v>Sky Mountain Charter School</v>
      </c>
      <c r="E5" s="512"/>
      <c r="F5" s="512"/>
      <c r="G5" s="513"/>
    </row>
    <row r="6" spans="1:18" s="2" customFormat="1" ht="24" customHeight="1" x14ac:dyDescent="0.2">
      <c r="A6" s="140" t="s">
        <v>107</v>
      </c>
      <c r="B6" s="140"/>
      <c r="D6" s="511" t="str">
        <f>Data!A4</f>
        <v>Lucerne Valley</v>
      </c>
      <c r="E6" s="512"/>
      <c r="F6" s="512"/>
      <c r="G6" s="513"/>
    </row>
    <row r="7" spans="1:18" s="2" customFormat="1" ht="17" customHeight="1" thickBot="1" x14ac:dyDescent="0.25">
      <c r="A7" s="141"/>
      <c r="B7" s="141"/>
      <c r="C7" s="142"/>
      <c r="D7" s="141"/>
      <c r="E7" s="149"/>
      <c r="F7" s="149"/>
      <c r="G7" s="143"/>
      <c r="H7" s="150"/>
      <c r="I7" s="151"/>
      <c r="J7" s="142"/>
    </row>
    <row r="8" spans="1:18" s="2" customFormat="1" ht="35.25" customHeight="1" thickTop="1" x14ac:dyDescent="0.2">
      <c r="A8" s="140"/>
      <c r="B8" s="140"/>
      <c r="D8" s="140"/>
      <c r="E8" s="144"/>
      <c r="F8" s="4"/>
      <c r="G8" s="5"/>
      <c r="H8" s="8"/>
      <c r="I8" s="145" t="s">
        <v>5</v>
      </c>
    </row>
    <row r="9" spans="1:18" s="2" customFormat="1" ht="17" customHeight="1" x14ac:dyDescent="0.2">
      <c r="A9" s="140" t="s">
        <v>6</v>
      </c>
      <c r="B9" s="140"/>
      <c r="D9" s="517" t="str">
        <f>Data!A2</f>
        <v>Second Interim</v>
      </c>
      <c r="E9" s="518"/>
      <c r="G9" s="146" t="s">
        <v>9</v>
      </c>
      <c r="H9" s="5"/>
      <c r="I9" s="33" t="s">
        <v>113</v>
      </c>
      <c r="J9" s="8"/>
    </row>
    <row r="10" spans="1:18" s="2" customFormat="1" ht="17" customHeight="1" x14ac:dyDescent="0.2">
      <c r="A10" s="1"/>
      <c r="D10" s="152"/>
      <c r="E10" s="144"/>
      <c r="G10" s="146" t="s">
        <v>13</v>
      </c>
      <c r="H10" s="5"/>
      <c r="I10" s="33" t="s">
        <v>113</v>
      </c>
      <c r="J10" s="8"/>
    </row>
    <row r="11" spans="1:18" ht="17" customHeight="1" x14ac:dyDescent="0.2">
      <c r="D11" s="152"/>
      <c r="G11" s="146" t="s">
        <v>11</v>
      </c>
      <c r="H11" s="5"/>
      <c r="I11" s="33" t="s">
        <v>113</v>
      </c>
      <c r="J11" s="8"/>
      <c r="P11" s="2"/>
      <c r="Q11" s="2"/>
      <c r="R11" s="2"/>
    </row>
    <row r="12" spans="1:18" ht="17" customHeight="1" x14ac:dyDescent="0.2">
      <c r="D12" s="152"/>
      <c r="G12" s="146" t="s">
        <v>15</v>
      </c>
      <c r="H12" s="5"/>
      <c r="I12" s="33" t="s">
        <v>113</v>
      </c>
      <c r="J12" s="8"/>
    </row>
    <row r="13" spans="1:18" ht="17" customHeight="1" x14ac:dyDescent="0.2">
      <c r="D13" s="152"/>
      <c r="G13" s="146" t="s">
        <v>14</v>
      </c>
      <c r="H13" s="5"/>
      <c r="I13" s="33" t="s">
        <v>113</v>
      </c>
      <c r="J13" s="8"/>
    </row>
    <row r="14" spans="1:18" ht="17" customHeight="1" x14ac:dyDescent="0.2">
      <c r="D14" s="2"/>
      <c r="G14" s="146" t="s">
        <v>7</v>
      </c>
      <c r="H14" s="5"/>
      <c r="I14" s="33" t="s">
        <v>113</v>
      </c>
      <c r="J14" s="8"/>
    </row>
    <row r="15" spans="1:18" ht="17" customHeight="1" x14ac:dyDescent="0.2">
      <c r="D15" s="2"/>
      <c r="F15" s="146"/>
      <c r="H15" s="153"/>
      <c r="I15" s="8"/>
    </row>
    <row r="16" spans="1:18" ht="17" customHeight="1" x14ac:dyDescent="0.2">
      <c r="A16" s="9" t="s">
        <v>131</v>
      </c>
      <c r="D16" s="154"/>
      <c r="E16" s="154"/>
      <c r="H16" s="5"/>
    </row>
    <row r="17" spans="1:18" ht="33.75" customHeight="1" x14ac:dyDescent="0.2">
      <c r="A17" s="9"/>
      <c r="C17" s="514" t="s">
        <v>127</v>
      </c>
      <c r="D17" s="514"/>
      <c r="E17" s="514"/>
      <c r="F17" s="514"/>
      <c r="G17" s="514"/>
      <c r="H17" s="514"/>
      <c r="I17" s="18"/>
      <c r="J17" s="18"/>
    </row>
    <row r="18" spans="1:18" ht="29.25" customHeight="1" x14ac:dyDescent="0.2">
      <c r="A18" s="9"/>
      <c r="C18" s="531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531"/>
      <c r="E18" s="531"/>
      <c r="F18" s="531"/>
      <c r="G18" s="531"/>
      <c r="H18" s="531"/>
      <c r="I18" s="155"/>
      <c r="J18" s="155"/>
      <c r="M18" s="174"/>
      <c r="N18" s="174"/>
      <c r="O18" s="174"/>
      <c r="P18" s="174"/>
      <c r="Q18" s="174"/>
      <c r="R18" s="174"/>
    </row>
    <row r="19" spans="1:18" ht="16" x14ac:dyDescent="0.2">
      <c r="A19" s="9"/>
      <c r="J19" s="156"/>
      <c r="M19" s="174"/>
      <c r="N19" s="174"/>
      <c r="O19" s="174"/>
      <c r="P19" s="174"/>
      <c r="Q19" s="174"/>
      <c r="R19" s="174"/>
    </row>
    <row r="20" spans="1:18" ht="17" customHeight="1" x14ac:dyDescent="0.2">
      <c r="A20" s="7"/>
      <c r="B20" s="147" t="s">
        <v>16</v>
      </c>
      <c r="E20" s="7"/>
      <c r="F20" s="1"/>
      <c r="G20" s="147" t="s">
        <v>17</v>
      </c>
      <c r="H20" s="5"/>
    </row>
    <row r="21" spans="1:18" ht="17" customHeight="1" x14ac:dyDescent="0.2">
      <c r="A21" s="6"/>
      <c r="B21" s="148">
        <v>1</v>
      </c>
      <c r="C21" s="508" t="s">
        <v>342</v>
      </c>
      <c r="D21" s="509"/>
      <c r="E21" s="509"/>
      <c r="F21" s="510"/>
      <c r="G21" s="506"/>
      <c r="H21" s="506"/>
      <c r="I21" s="506"/>
      <c r="J21" s="507"/>
    </row>
    <row r="22" spans="1:18" ht="17" customHeight="1" x14ac:dyDescent="0.2">
      <c r="A22" s="6"/>
      <c r="B22" s="148">
        <v>2</v>
      </c>
      <c r="C22" s="508"/>
      <c r="D22" s="509"/>
      <c r="E22" s="509"/>
      <c r="F22" s="510"/>
      <c r="G22" s="506"/>
      <c r="H22" s="506"/>
      <c r="I22" s="506"/>
      <c r="J22" s="507"/>
    </row>
    <row r="23" spans="1:18" s="6" customFormat="1" ht="17" customHeight="1" x14ac:dyDescent="0.2">
      <c r="B23" s="148">
        <v>3</v>
      </c>
      <c r="C23" s="508"/>
      <c r="D23" s="509"/>
      <c r="E23" s="509"/>
      <c r="F23" s="510"/>
      <c r="G23" s="506"/>
      <c r="H23" s="506"/>
      <c r="I23" s="506"/>
      <c r="J23" s="507"/>
    </row>
    <row r="24" spans="1:18" s="6" customFormat="1" ht="17" customHeight="1" x14ac:dyDescent="0.2">
      <c r="B24" s="148">
        <v>4</v>
      </c>
      <c r="C24" s="508"/>
      <c r="D24" s="509"/>
      <c r="E24" s="509"/>
      <c r="F24" s="510"/>
      <c r="G24" s="506"/>
      <c r="H24" s="506"/>
      <c r="I24" s="506"/>
      <c r="J24" s="507"/>
    </row>
    <row r="25" spans="1:18" s="6" customFormat="1" ht="17" customHeight="1" x14ac:dyDescent="0.2">
      <c r="B25" s="148">
        <v>5</v>
      </c>
      <c r="C25" s="508"/>
      <c r="D25" s="509"/>
      <c r="E25" s="509"/>
      <c r="F25" s="510"/>
      <c r="G25" s="506"/>
      <c r="H25" s="506"/>
      <c r="I25" s="506"/>
      <c r="J25" s="507"/>
    </row>
    <row r="26" spans="1:18" s="6" customFormat="1" ht="17" customHeight="1" x14ac:dyDescent="0.2">
      <c r="B26" s="148">
        <v>6</v>
      </c>
      <c r="C26" s="508"/>
      <c r="D26" s="509"/>
      <c r="E26" s="509"/>
      <c r="F26" s="510"/>
      <c r="G26" s="506"/>
      <c r="H26" s="506"/>
      <c r="I26" s="506"/>
      <c r="J26" s="507"/>
    </row>
    <row r="27" spans="1:18" s="6" customFormat="1" ht="17" customHeight="1" x14ac:dyDescent="0.2">
      <c r="B27" s="148">
        <v>7</v>
      </c>
      <c r="C27" s="508"/>
      <c r="D27" s="509"/>
      <c r="E27" s="509"/>
      <c r="F27" s="510"/>
      <c r="G27" s="506"/>
      <c r="H27" s="506"/>
      <c r="I27" s="506"/>
      <c r="J27" s="507"/>
    </row>
    <row r="28" spans="1:18" ht="17" customHeight="1" x14ac:dyDescent="0.2">
      <c r="B28" s="9"/>
    </row>
    <row r="29" spans="1:18" ht="17" customHeight="1" x14ac:dyDescent="0.2">
      <c r="B29" s="9"/>
    </row>
    <row r="30" spans="1:18" ht="17" customHeight="1" x14ac:dyDescent="0.2">
      <c r="B30" s="9"/>
      <c r="C30" s="35" t="s">
        <v>18</v>
      </c>
      <c r="D30" s="443" t="s">
        <v>346</v>
      </c>
      <c r="E30" s="444"/>
      <c r="F30" s="444"/>
      <c r="G30" s="445"/>
    </row>
    <row r="31" spans="1:18" ht="17" customHeight="1" x14ac:dyDescent="0.2">
      <c r="B31" s="9"/>
      <c r="C31" s="35" t="s">
        <v>19</v>
      </c>
      <c r="D31" s="443" t="s">
        <v>353</v>
      </c>
      <c r="E31" s="444"/>
      <c r="F31" s="444"/>
      <c r="G31" s="445"/>
    </row>
    <row r="32" spans="1:18" ht="17" customHeight="1" x14ac:dyDescent="0.2">
      <c r="B32" s="9"/>
      <c r="C32" s="35" t="s">
        <v>20</v>
      </c>
      <c r="D32" s="459">
        <v>44907</v>
      </c>
      <c r="E32" s="444"/>
      <c r="F32" s="444"/>
      <c r="G32" s="445"/>
    </row>
    <row r="33" spans="1:10" ht="17" customHeight="1" x14ac:dyDescent="0.2">
      <c r="B33" s="9"/>
      <c r="C33" s="35" t="s">
        <v>21</v>
      </c>
      <c r="D33" s="443" t="s">
        <v>347</v>
      </c>
      <c r="E33" s="444"/>
      <c r="F33" s="444"/>
      <c r="G33" s="445"/>
    </row>
    <row r="34" spans="1:10" ht="17" customHeight="1" x14ac:dyDescent="0.2">
      <c r="B34" s="9"/>
      <c r="C34" s="35" t="s">
        <v>22</v>
      </c>
      <c r="D34" s="525" t="s">
        <v>348</v>
      </c>
      <c r="E34" s="444"/>
      <c r="F34" s="444"/>
      <c r="G34" s="445"/>
    </row>
    <row r="35" spans="1:10" ht="17" customHeight="1" x14ac:dyDescent="0.2">
      <c r="B35" s="9"/>
      <c r="C35" s="35"/>
      <c r="D35" s="3"/>
      <c r="G35" s="3"/>
    </row>
    <row r="36" spans="1:10" ht="17" customHeight="1" x14ac:dyDescent="0.2">
      <c r="A36" s="121"/>
      <c r="B36" s="121"/>
      <c r="C36" s="121"/>
      <c r="D36" s="121"/>
      <c r="E36" s="121"/>
      <c r="F36" s="121"/>
      <c r="G36" s="121"/>
      <c r="H36" s="121"/>
      <c r="I36" s="121"/>
      <c r="J36" s="121"/>
    </row>
    <row r="37" spans="1:10" ht="17" customHeight="1" x14ac:dyDescent="0.2">
      <c r="B37" s="9"/>
    </row>
    <row r="38" spans="1:10" ht="17" customHeight="1" x14ac:dyDescent="0.2">
      <c r="A38" s="54" t="s">
        <v>201</v>
      </c>
      <c r="B38" s="55"/>
      <c r="C38" s="55"/>
      <c r="D38" s="55"/>
      <c r="E38" s="55"/>
      <c r="F38" s="55"/>
      <c r="G38" s="56"/>
      <c r="H38" s="57"/>
      <c r="I38" s="57"/>
      <c r="J38" s="55"/>
    </row>
    <row r="39" spans="1:10" ht="17" customHeight="1" x14ac:dyDescent="0.2">
      <c r="A39" s="7"/>
      <c r="G39" s="30"/>
    </row>
    <row r="40" spans="1:10" s="53" customFormat="1" ht="19.5" customHeight="1" x14ac:dyDescent="0.15">
      <c r="A40" s="49" t="s">
        <v>23</v>
      </c>
      <c r="B40" s="50"/>
      <c r="C40" s="50"/>
      <c r="D40" s="51"/>
      <c r="E40" s="51"/>
      <c r="F40" s="52" t="s">
        <v>24</v>
      </c>
      <c r="G40" s="50"/>
      <c r="H40" s="50"/>
      <c r="I40" s="50"/>
      <c r="J40" s="50"/>
    </row>
    <row r="41" spans="1:10" s="53" customFormat="1" ht="9" customHeight="1" x14ac:dyDescent="0.15">
      <c r="A41" s="59"/>
      <c r="D41" s="97"/>
      <c r="E41" s="97"/>
      <c r="F41" s="98"/>
    </row>
    <row r="42" spans="1:10" s="53" customFormat="1" ht="19.5" customHeight="1" x14ac:dyDescent="0.15">
      <c r="A42" s="59"/>
      <c r="B42" s="489" t="s">
        <v>231</v>
      </c>
      <c r="C42" s="489"/>
      <c r="D42" s="489"/>
      <c r="E42" s="489"/>
      <c r="F42" s="489"/>
      <c r="G42" s="489"/>
      <c r="H42" s="489"/>
      <c r="I42" s="489"/>
    </row>
    <row r="43" spans="1:10" ht="7.5" customHeight="1" x14ac:dyDescent="0.2">
      <c r="A43" s="9"/>
      <c r="D43" s="4"/>
      <c r="E43" s="4"/>
      <c r="F43" s="10"/>
      <c r="G43" s="1"/>
      <c r="H43" s="1"/>
      <c r="I43" s="1"/>
    </row>
    <row r="44" spans="1:10" s="4" customFormat="1" ht="17" customHeight="1" x14ac:dyDescent="0.15">
      <c r="B44" s="74" t="s">
        <v>25</v>
      </c>
      <c r="C44" s="64"/>
      <c r="D44" s="64"/>
      <c r="E44" s="65"/>
      <c r="F44" s="66"/>
      <c r="G44" s="67"/>
      <c r="H44" s="64"/>
      <c r="I44" s="68"/>
      <c r="J44" s="88" t="s">
        <v>29</v>
      </c>
    </row>
    <row r="45" spans="1:10" s="4" customFormat="1" ht="17" customHeight="1" x14ac:dyDescent="0.15">
      <c r="B45" s="69"/>
      <c r="C45" s="27" t="s">
        <v>108</v>
      </c>
      <c r="D45" s="70" t="s">
        <v>117</v>
      </c>
      <c r="E45" s="71"/>
      <c r="F45" s="72" t="s">
        <v>27</v>
      </c>
      <c r="G45" s="70" t="s">
        <v>28</v>
      </c>
      <c r="H45" s="71"/>
      <c r="I45" s="73" t="s">
        <v>29</v>
      </c>
      <c r="J45" s="96" t="s">
        <v>144</v>
      </c>
    </row>
    <row r="46" spans="1:10" s="4" customFormat="1" ht="17" customHeight="1" x14ac:dyDescent="0.15">
      <c r="B46" s="69" t="s">
        <v>192</v>
      </c>
      <c r="C46" s="103">
        <v>1724.8</v>
      </c>
      <c r="D46" s="104"/>
      <c r="E46" s="105"/>
      <c r="F46" s="108">
        <v>1710</v>
      </c>
      <c r="G46" s="82"/>
      <c r="H46" s="81"/>
      <c r="I46" s="81"/>
      <c r="J46" s="89"/>
    </row>
    <row r="47" spans="1:10" s="4" customFormat="1" ht="17" customHeight="1" x14ac:dyDescent="0.15">
      <c r="B47" s="69" t="s">
        <v>3</v>
      </c>
      <c r="C47" s="103">
        <v>1806.01</v>
      </c>
      <c r="D47" s="106">
        <f>IF(C46&lt;&gt;0,(IF(C47&lt;&gt;0,C47-C46,"")),"")</f>
        <v>81.210000000000036</v>
      </c>
      <c r="E47" s="285">
        <f t="shared" ref="E47:E52" si="0">IF(C46&lt;&gt;0,(IF(C47&lt;&gt;0,(C47-C46)/C46,"")),"")</f>
        <v>4.7083719851577013E-2</v>
      </c>
      <c r="F47" s="108">
        <v>1781</v>
      </c>
      <c r="G47" s="293">
        <f>IF(F46&lt;&gt;0,(IF(F47&lt;&gt;0,F47-F46,"")),"")</f>
        <v>71</v>
      </c>
      <c r="H47" s="62">
        <f t="shared" ref="H47:H52" si="1">IF(F46&lt;&gt;0,(IF(F47&lt;&gt;0,(F47-F46)/F46,"")),"")</f>
        <v>4.1520467836257312E-2</v>
      </c>
      <c r="I47" s="63">
        <f t="shared" ref="I47:I52" si="2">IF(F47&lt;&gt;0,C47/F47,"")</f>
        <v>1.0140426726558114</v>
      </c>
      <c r="J47" s="90"/>
    </row>
    <row r="48" spans="1:10" s="4" customFormat="1" ht="17" customHeight="1" x14ac:dyDescent="0.15">
      <c r="B48" s="69" t="s">
        <v>36</v>
      </c>
      <c r="C48" s="103">
        <v>1806.01</v>
      </c>
      <c r="D48" s="106">
        <f t="shared" ref="D48:D52" si="3">IF(C47&lt;&gt;0,(IF(C48&lt;&gt;0,C48-C47,"")),"")</f>
        <v>0</v>
      </c>
      <c r="E48" s="285">
        <f t="shared" si="0"/>
        <v>0</v>
      </c>
      <c r="F48" s="108">
        <v>2185</v>
      </c>
      <c r="G48" s="293">
        <f t="shared" ref="G48:G52" si="4">IF(F47&lt;&gt;0,(IF(F48&lt;&gt;0,F48-F47,"")),"")</f>
        <v>404</v>
      </c>
      <c r="H48" s="62">
        <f t="shared" si="1"/>
        <v>0.22683885457608086</v>
      </c>
      <c r="I48" s="63">
        <f t="shared" si="2"/>
        <v>0.82654919908466817</v>
      </c>
      <c r="J48" s="90"/>
    </row>
    <row r="49" spans="1:10" s="4" customFormat="1" ht="17" customHeight="1" x14ac:dyDescent="0.15">
      <c r="B49" s="69" t="s">
        <v>232</v>
      </c>
      <c r="C49" s="114">
        <f>Data!B6</f>
        <v>2118.83</v>
      </c>
      <c r="D49" s="106">
        <f t="shared" si="3"/>
        <v>312.81999999999994</v>
      </c>
      <c r="E49" s="286">
        <f t="shared" si="0"/>
        <v>0.17321055808107372</v>
      </c>
      <c r="F49" s="157">
        <f>Data!B7</f>
        <v>2155</v>
      </c>
      <c r="G49" s="293">
        <f t="shared" si="4"/>
        <v>-30</v>
      </c>
      <c r="H49" s="158">
        <f t="shared" si="1"/>
        <v>-1.3729977116704805E-2</v>
      </c>
      <c r="I49" s="63">
        <f t="shared" si="2"/>
        <v>0.9832157772621809</v>
      </c>
      <c r="J49" s="159"/>
    </row>
    <row r="50" spans="1:10" s="4" customFormat="1" ht="17" customHeight="1" x14ac:dyDescent="0.15">
      <c r="B50" s="160" t="str">
        <f>D4</f>
        <v>2022-23</v>
      </c>
      <c r="C50" s="161">
        <f>Data!C6</f>
        <v>2170.6099999999997</v>
      </c>
      <c r="D50" s="107">
        <f t="shared" si="3"/>
        <v>51.779999999999745</v>
      </c>
      <c r="E50" s="287">
        <f t="shared" si="0"/>
        <v>2.4438015319775418E-2</v>
      </c>
      <c r="F50" s="162">
        <f>Data!C7</f>
        <v>2166</v>
      </c>
      <c r="G50" s="294">
        <f t="shared" si="4"/>
        <v>11</v>
      </c>
      <c r="H50" s="163">
        <f t="shared" si="1"/>
        <v>5.1044083526682136E-3</v>
      </c>
      <c r="I50" s="164">
        <f t="shared" si="2"/>
        <v>1.0021283471837488</v>
      </c>
      <c r="J50" s="163" t="str">
        <f>IF(J53="Insufficient History","",IF(I50&gt;$J$53,"Not Met","Meets"))</f>
        <v>Not Met</v>
      </c>
    </row>
    <row r="51" spans="1:10" s="4" customFormat="1" ht="17" customHeight="1" x14ac:dyDescent="0.15">
      <c r="B51" s="160" t="s">
        <v>193</v>
      </c>
      <c r="C51" s="161">
        <f>Data!D6</f>
        <v>2170.6099999999997</v>
      </c>
      <c r="D51" s="107">
        <f t="shared" si="3"/>
        <v>0</v>
      </c>
      <c r="E51" s="287">
        <f t="shared" si="0"/>
        <v>0</v>
      </c>
      <c r="F51" s="162">
        <f>Data!D7</f>
        <v>2166</v>
      </c>
      <c r="G51" s="294">
        <f t="shared" si="4"/>
        <v>0</v>
      </c>
      <c r="H51" s="163">
        <f t="shared" si="1"/>
        <v>0</v>
      </c>
      <c r="I51" s="164">
        <f t="shared" si="2"/>
        <v>1.0021283471837488</v>
      </c>
      <c r="J51" s="163" t="str">
        <f>IF(J53="Insufficient History","",IF(I51&gt;$J$53,"Not Met","Meets"))</f>
        <v>Not Met</v>
      </c>
    </row>
    <row r="52" spans="1:10" s="4" customFormat="1" ht="17" customHeight="1" thickBot="1" x14ac:dyDescent="0.2">
      <c r="B52" s="165" t="s">
        <v>238</v>
      </c>
      <c r="C52" s="166">
        <f>Data!E6</f>
        <v>2170.6099999999997</v>
      </c>
      <c r="D52" s="295">
        <f t="shared" si="3"/>
        <v>0</v>
      </c>
      <c r="E52" s="288">
        <f t="shared" si="0"/>
        <v>0</v>
      </c>
      <c r="F52" s="162">
        <f>Data!E7</f>
        <v>2166</v>
      </c>
      <c r="G52" s="294">
        <f t="shared" si="4"/>
        <v>0</v>
      </c>
      <c r="H52" s="167">
        <f t="shared" si="1"/>
        <v>0</v>
      </c>
      <c r="I52" s="168">
        <f t="shared" si="2"/>
        <v>1.0021283471837488</v>
      </c>
      <c r="J52" s="163" t="str">
        <f>IF(J53="Insufficient History","",IF(I52&gt;$J$53,"Not Met","Meets"))</f>
        <v>Not Met</v>
      </c>
    </row>
    <row r="53" spans="1:10" ht="30.75" customHeight="1" thickBot="1" x14ac:dyDescent="0.25">
      <c r="A53" s="14"/>
      <c r="B53" s="169"/>
      <c r="C53" s="526" t="s">
        <v>114</v>
      </c>
      <c r="D53" s="527"/>
      <c r="E53" s="170">
        <f>IF(E47="","Insufficient History",SUM(E47:E49)/3)</f>
        <v>7.3431425977550244E-2</v>
      </c>
      <c r="F53" s="171"/>
      <c r="G53" s="169"/>
      <c r="H53" s="170">
        <f>IF(H47="","Insufficient History",SUM(H47:H49)/3)</f>
        <v>8.4876448431877791E-2</v>
      </c>
      <c r="I53" s="170">
        <f>IF(I47="","Insufficient History",SUM(I47:I49)/3)</f>
        <v>0.94126921633422012</v>
      </c>
      <c r="J53" s="172">
        <f>IF(I53="Insufficient History","Insufficient History",I53+0.005)</f>
        <v>0.94626921633422012</v>
      </c>
    </row>
    <row r="54" spans="1:10" ht="10.5" customHeight="1" thickBot="1" x14ac:dyDescent="0.25">
      <c r="A54" s="14"/>
      <c r="B54" s="23"/>
      <c r="C54" s="28"/>
      <c r="D54" s="60"/>
      <c r="E54" s="173"/>
      <c r="F54" s="23"/>
      <c r="G54" s="23"/>
      <c r="H54" s="173"/>
      <c r="I54" s="173"/>
    </row>
    <row r="55" spans="1:10" ht="17" customHeight="1" thickBot="1" x14ac:dyDescent="0.25">
      <c r="A55" s="14"/>
      <c r="B55" s="528" t="s">
        <v>210</v>
      </c>
      <c r="C55" s="529"/>
      <c r="D55" s="529"/>
      <c r="E55" s="529"/>
      <c r="F55" s="529"/>
      <c r="G55" s="529"/>
      <c r="H55" s="529"/>
      <c r="I55" s="529"/>
      <c r="J55" s="530"/>
    </row>
    <row r="56" spans="1:10" ht="37.5" customHeight="1" x14ac:dyDescent="0.2">
      <c r="A56" s="14"/>
      <c r="B56" s="451" t="s">
        <v>343</v>
      </c>
      <c r="C56" s="487"/>
      <c r="D56" s="487"/>
      <c r="E56" s="487"/>
      <c r="F56" s="487"/>
      <c r="G56" s="487"/>
      <c r="H56" s="487"/>
      <c r="I56" s="487"/>
      <c r="J56" s="488"/>
    </row>
    <row r="57" spans="1:10" ht="17" customHeight="1" x14ac:dyDescent="0.2">
      <c r="A57" s="14"/>
      <c r="B57" s="23"/>
      <c r="C57" s="28"/>
      <c r="D57" s="60"/>
      <c r="E57" s="61"/>
      <c r="F57" s="23"/>
      <c r="G57" s="23"/>
      <c r="H57" s="61"/>
      <c r="I57" s="61"/>
    </row>
    <row r="58" spans="1:10" ht="17" customHeight="1" x14ac:dyDescent="0.2">
      <c r="A58" s="14"/>
      <c r="B58" s="17" t="str">
        <f>B50&amp;" Certified CBEDS (if available)"</f>
        <v>2022-23 Certified CBEDS (if available)</v>
      </c>
      <c r="C58" s="28"/>
      <c r="D58" s="60"/>
      <c r="E58" s="61"/>
      <c r="F58" s="109">
        <v>2166</v>
      </c>
      <c r="G58" s="23"/>
      <c r="H58" s="61"/>
      <c r="I58" s="61"/>
    </row>
    <row r="59" spans="1:10" ht="17" customHeight="1" x14ac:dyDescent="0.2">
      <c r="A59" s="14"/>
      <c r="B59" s="25" t="s">
        <v>111</v>
      </c>
      <c r="C59" s="28"/>
      <c r="D59" s="60"/>
      <c r="E59" s="61"/>
      <c r="F59" s="27" t="str">
        <f>IF(F58="","", IF(F58=F50,"Equal", "Not Equal"))</f>
        <v>Equal</v>
      </c>
      <c r="G59" s="23"/>
      <c r="H59" s="61"/>
      <c r="I59" s="61"/>
    </row>
    <row r="60" spans="1:10" ht="17" customHeight="1" x14ac:dyDescent="0.2">
      <c r="A60" s="14"/>
      <c r="B60" s="23"/>
      <c r="C60" s="28"/>
      <c r="D60" s="60"/>
      <c r="E60" s="61"/>
      <c r="F60" s="23"/>
      <c r="G60" s="23"/>
      <c r="H60" s="61"/>
      <c r="I60" s="61"/>
    </row>
    <row r="61" spans="1:10" ht="17" customHeight="1" x14ac:dyDescent="0.2">
      <c r="A61" s="14"/>
      <c r="B61" s="17" t="s">
        <v>30</v>
      </c>
      <c r="C61" s="28"/>
      <c r="D61" s="60"/>
      <c r="E61" s="78"/>
      <c r="F61" s="23"/>
      <c r="G61" s="27" t="s">
        <v>112</v>
      </c>
      <c r="H61" s="61"/>
      <c r="I61" s="61"/>
    </row>
    <row r="62" spans="1:10" ht="17" customHeight="1" x14ac:dyDescent="0.2">
      <c r="A62" s="14"/>
      <c r="B62" s="25" t="s">
        <v>31</v>
      </c>
      <c r="C62" s="28"/>
      <c r="D62" s="60"/>
      <c r="E62" s="99" t="s">
        <v>115</v>
      </c>
      <c r="F62" s="1"/>
      <c r="G62" s="110"/>
      <c r="H62" s="61"/>
      <c r="I62" s="61"/>
    </row>
    <row r="63" spans="1:10" ht="17" customHeight="1" thickBot="1" x14ac:dyDescent="0.25">
      <c r="A63" s="14"/>
      <c r="B63" s="23"/>
      <c r="C63" s="28"/>
      <c r="D63" s="60"/>
      <c r="E63" s="61"/>
      <c r="F63" s="23"/>
      <c r="G63" s="23"/>
      <c r="H63" s="61"/>
      <c r="I63" s="61"/>
    </row>
    <row r="64" spans="1:10" ht="33.75" customHeight="1" thickBot="1" x14ac:dyDescent="0.25">
      <c r="A64" s="14"/>
      <c r="B64" s="23"/>
      <c r="C64" s="76" t="s">
        <v>32</v>
      </c>
      <c r="D64" s="77" t="s">
        <v>33</v>
      </c>
      <c r="E64" s="76" t="s">
        <v>34</v>
      </c>
      <c r="F64" s="76" t="s">
        <v>35</v>
      </c>
      <c r="G64" s="23"/>
      <c r="H64" s="521" t="s">
        <v>60</v>
      </c>
      <c r="I64" s="522"/>
    </row>
    <row r="65" spans="1:9" ht="17" customHeight="1" x14ac:dyDescent="0.2">
      <c r="A65" s="14"/>
      <c r="B65" s="75" t="str">
        <f>B48</f>
        <v>2020-21</v>
      </c>
      <c r="C65" s="111"/>
      <c r="D65" s="175">
        <f>F48</f>
        <v>2185</v>
      </c>
      <c r="E65" s="176">
        <f>D65-C65</f>
        <v>2185</v>
      </c>
      <c r="F65" s="177">
        <f>IF(D65&lt;&gt;0,E65/D65,"")</f>
        <v>1</v>
      </c>
      <c r="G65" s="23" t="str">
        <f>IF($G$62="","",IF(D65-$G$62&gt;0,"Exceeds Cap",""))</f>
        <v/>
      </c>
      <c r="H65" s="523"/>
      <c r="I65" s="523"/>
    </row>
    <row r="66" spans="1:9" ht="17" customHeight="1" x14ac:dyDescent="0.2">
      <c r="A66" s="14"/>
      <c r="B66" s="75" t="str">
        <f>B49</f>
        <v>2021-22</v>
      </c>
      <c r="C66" s="112"/>
      <c r="D66" s="175">
        <f>F49</f>
        <v>2155</v>
      </c>
      <c r="E66" s="176">
        <f>D66-C66</f>
        <v>2155</v>
      </c>
      <c r="F66" s="177">
        <f>IF(D66&lt;&gt;0,E66/D66,"")</f>
        <v>1</v>
      </c>
      <c r="G66" s="23" t="str">
        <f>IF($G$62="","",IF(D66-$G$62&gt;0,"Exceeds Cap",""))</f>
        <v/>
      </c>
      <c r="H66" s="524"/>
      <c r="I66" s="524"/>
    </row>
    <row r="67" spans="1:9" ht="17" customHeight="1" x14ac:dyDescent="0.2">
      <c r="A67" s="14"/>
      <c r="B67" s="79" t="str">
        <f>B50</f>
        <v>2022-23</v>
      </c>
      <c r="C67" s="113"/>
      <c r="D67" s="178">
        <f>F50</f>
        <v>2166</v>
      </c>
      <c r="E67" s="179">
        <f>D67-C67</f>
        <v>2166</v>
      </c>
      <c r="F67" s="180">
        <f>IF(D67&lt;&gt;0,E67/D67,"")</f>
        <v>1</v>
      </c>
      <c r="G67" s="23" t="str">
        <f>IF($G$62="","",IF(D67-$G$62&gt;0,"Exceeds Cap",""))</f>
        <v/>
      </c>
      <c r="H67" s="524"/>
      <c r="I67" s="524"/>
    </row>
    <row r="68" spans="1:9" ht="17" customHeight="1" x14ac:dyDescent="0.2">
      <c r="A68" s="14"/>
      <c r="B68" s="79" t="str">
        <f>B51</f>
        <v>2023-24</v>
      </c>
      <c r="C68" s="113"/>
      <c r="D68" s="178">
        <f>F51</f>
        <v>2166</v>
      </c>
      <c r="E68" s="179">
        <f>D68-C68</f>
        <v>2166</v>
      </c>
      <c r="F68" s="180">
        <f>IF(D68&lt;&gt;0,E68/D68,"")</f>
        <v>1</v>
      </c>
      <c r="G68" s="23" t="str">
        <f>IF($G$62="","",IF(D68-$G$62&gt;0,"Exceeds Cap",""))</f>
        <v/>
      </c>
      <c r="H68" s="524"/>
      <c r="I68" s="524"/>
    </row>
    <row r="69" spans="1:9" ht="17" customHeight="1" x14ac:dyDescent="0.2">
      <c r="A69" s="14"/>
      <c r="B69" s="80" t="str">
        <f>B52</f>
        <v>2024-25</v>
      </c>
      <c r="C69" s="113"/>
      <c r="D69" s="178">
        <f>F52</f>
        <v>2166</v>
      </c>
      <c r="E69" s="179">
        <f>D69-C69</f>
        <v>2166</v>
      </c>
      <c r="F69" s="180">
        <f>IF(D69&lt;&gt;0,E69/D69,"")</f>
        <v>1</v>
      </c>
      <c r="G69" s="23" t="str">
        <f>IF($G$62="","",IF(D69-$G$62&gt;0,"Exceeds Cap",""))</f>
        <v/>
      </c>
      <c r="H69" s="524"/>
      <c r="I69" s="524"/>
    </row>
    <row r="70" spans="1:9" ht="7.5" customHeight="1" x14ac:dyDescent="0.2">
      <c r="A70" s="14"/>
      <c r="B70" s="23"/>
      <c r="C70" s="28"/>
      <c r="D70" s="60"/>
      <c r="E70" s="61"/>
      <c r="F70" s="23"/>
      <c r="G70" s="23"/>
      <c r="H70" s="61"/>
      <c r="I70" s="61"/>
    </row>
    <row r="71" spans="1:9" ht="17" customHeight="1" thickBot="1" x14ac:dyDescent="0.25">
      <c r="A71" s="9"/>
      <c r="D71" s="4"/>
      <c r="E71" s="78" t="s">
        <v>109</v>
      </c>
      <c r="F71" s="10"/>
      <c r="G71" s="1"/>
      <c r="H71" s="1"/>
      <c r="I71" s="1"/>
    </row>
    <row r="72" spans="1:9" ht="17" customHeight="1" thickBot="1" x14ac:dyDescent="0.25">
      <c r="A72" s="9"/>
      <c r="D72" s="120" t="str">
        <f>B67&amp;" ADA Reasonable?"</f>
        <v>2022-23 ADA Reasonable?</v>
      </c>
      <c r="E72" s="34" t="s">
        <v>113</v>
      </c>
      <c r="F72" s="10"/>
      <c r="G72" s="466" t="s">
        <v>37</v>
      </c>
      <c r="H72" s="467"/>
      <c r="I72" s="468"/>
    </row>
    <row r="73" spans="1:9" ht="17" customHeight="1" thickBot="1" x14ac:dyDescent="0.25">
      <c r="A73" s="9"/>
      <c r="B73" s="20" t="str">
        <f>"Budget Year "&amp;B67</f>
        <v>Budget Year 2022-23</v>
      </c>
      <c r="C73" s="11"/>
      <c r="D73" s="20"/>
      <c r="E73" s="22" t="s">
        <v>108</v>
      </c>
      <c r="F73" s="27" t="s">
        <v>38</v>
      </c>
      <c r="G73" s="119" t="s">
        <v>39</v>
      </c>
      <c r="H73" s="117"/>
      <c r="I73" s="118"/>
    </row>
    <row r="74" spans="1:9" ht="17" customHeight="1" x14ac:dyDescent="0.2">
      <c r="B74" s="11" t="s">
        <v>40</v>
      </c>
      <c r="C74" s="11"/>
      <c r="D74" s="11"/>
      <c r="E74" s="24">
        <f>E50</f>
        <v>2.4438015319775418E-2</v>
      </c>
      <c r="F74" s="92">
        <f>H50</f>
        <v>5.1044083526682136E-3</v>
      </c>
      <c r="G74" s="460"/>
      <c r="H74" s="461"/>
      <c r="I74" s="462"/>
    </row>
    <row r="75" spans="1:9" ht="17" customHeight="1" x14ac:dyDescent="0.2">
      <c r="B75" s="11" t="s">
        <v>110</v>
      </c>
      <c r="C75" s="11"/>
      <c r="D75" s="11"/>
      <c r="E75" s="403" t="str">
        <f>IF($E$53="Insufficient History","Insufficient History",IF(E74&lt;=$E$53,"Meets","Not Met"))</f>
        <v>Meets</v>
      </c>
      <c r="F75" s="404" t="str">
        <f>IF($H$53="Insufficient History","Insufficient History",IF(F74&lt;=$H$53,"Meets","Not Met"))</f>
        <v>Meets</v>
      </c>
      <c r="G75" s="460"/>
      <c r="H75" s="461"/>
      <c r="I75" s="462"/>
    </row>
    <row r="76" spans="1:9" ht="17" customHeight="1" x14ac:dyDescent="0.2">
      <c r="B76" s="11" t="s">
        <v>41</v>
      </c>
      <c r="C76" s="11"/>
      <c r="D76" s="11"/>
      <c r="E76" s="114">
        <f>C50</f>
        <v>2170.6099999999997</v>
      </c>
      <c r="F76" s="115">
        <f>F50</f>
        <v>2166</v>
      </c>
      <c r="G76" s="460"/>
      <c r="H76" s="461"/>
      <c r="I76" s="462"/>
    </row>
    <row r="77" spans="1:9" ht="17" customHeight="1" x14ac:dyDescent="0.2">
      <c r="B77" s="11"/>
      <c r="C77" s="11"/>
      <c r="D77" s="11"/>
      <c r="E77" s="31"/>
      <c r="F77" s="91"/>
      <c r="G77" s="463"/>
      <c r="H77" s="464"/>
      <c r="I77" s="465"/>
    </row>
    <row r="78" spans="1:9" s="4" customFormat="1" ht="17" customHeight="1" thickBot="1" x14ac:dyDescent="0.2">
      <c r="B78" s="26"/>
      <c r="C78" s="11"/>
      <c r="D78" s="11"/>
      <c r="E78" s="78" t="s">
        <v>109</v>
      </c>
      <c r="F78" s="23"/>
      <c r="G78" s="93"/>
      <c r="H78" s="11"/>
      <c r="I78" s="11"/>
    </row>
    <row r="79" spans="1:9" s="4" customFormat="1" ht="17" customHeight="1" thickBot="1" x14ac:dyDescent="0.2">
      <c r="B79" s="26"/>
      <c r="C79" s="11"/>
      <c r="D79" s="120" t="str">
        <f>B68&amp;" ADA Reasonable?"</f>
        <v>2023-24 ADA Reasonable?</v>
      </c>
      <c r="E79" s="34" t="s">
        <v>113</v>
      </c>
      <c r="F79" s="23"/>
      <c r="G79" s="466" t="s">
        <v>37</v>
      </c>
      <c r="H79" s="467"/>
      <c r="I79" s="468"/>
    </row>
    <row r="80" spans="1:9" s="4" customFormat="1" ht="17" customHeight="1" thickBot="1" x14ac:dyDescent="0.2">
      <c r="B80" s="20" t="str">
        <f>"1st Subsequent Year "&amp;B68</f>
        <v>1st Subsequent Year 2023-24</v>
      </c>
      <c r="C80" s="11"/>
      <c r="E80" s="22" t="s">
        <v>108</v>
      </c>
      <c r="F80" s="27" t="s">
        <v>38</v>
      </c>
      <c r="G80" s="119" t="s">
        <v>39</v>
      </c>
      <c r="H80" s="117"/>
      <c r="I80" s="118"/>
    </row>
    <row r="81" spans="1:10" s="4" customFormat="1" ht="17" customHeight="1" x14ac:dyDescent="0.15">
      <c r="B81" s="11" t="s">
        <v>40</v>
      </c>
      <c r="C81" s="11"/>
      <c r="D81" s="11"/>
      <c r="E81" s="24">
        <f>E51</f>
        <v>0</v>
      </c>
      <c r="F81" s="24">
        <f>H51</f>
        <v>0</v>
      </c>
      <c r="G81" s="460"/>
      <c r="H81" s="461"/>
      <c r="I81" s="462"/>
    </row>
    <row r="82" spans="1:10" s="4" customFormat="1" ht="17" customHeight="1" x14ac:dyDescent="0.15">
      <c r="B82" s="11" t="s">
        <v>110</v>
      </c>
      <c r="C82" s="11"/>
      <c r="D82" s="11"/>
      <c r="E82" s="403" t="str">
        <f>IF($E$53="Insufficient History","Insufficient History",IF(E81&lt;=$E$53,"Meets","Not Met"))</f>
        <v>Meets</v>
      </c>
      <c r="F82" s="403" t="str">
        <f>IF($H$53="Insufficient History","Insufficient History",IF(F81&lt;=$H$53,"Meets","Not Met"))</f>
        <v>Meets</v>
      </c>
      <c r="G82" s="460"/>
      <c r="H82" s="461"/>
      <c r="I82" s="462"/>
    </row>
    <row r="83" spans="1:10" s="4" customFormat="1" ht="17" customHeight="1" x14ac:dyDescent="0.15">
      <c r="B83" s="11" t="s">
        <v>41</v>
      </c>
      <c r="C83" s="11"/>
      <c r="D83" s="11"/>
      <c r="E83" s="114">
        <f>C51</f>
        <v>2170.6099999999997</v>
      </c>
      <c r="F83" s="116">
        <f>F51</f>
        <v>2166</v>
      </c>
      <c r="G83" s="460"/>
      <c r="H83" s="461"/>
      <c r="I83" s="462"/>
    </row>
    <row r="84" spans="1:10" s="4" customFormat="1" ht="17" customHeight="1" x14ac:dyDescent="0.15">
      <c r="B84" s="11"/>
      <c r="C84" s="11"/>
      <c r="D84" s="11"/>
      <c r="E84" s="31"/>
      <c r="F84" s="91"/>
      <c r="G84" s="463"/>
      <c r="H84" s="464"/>
      <c r="I84" s="465"/>
    </row>
    <row r="85" spans="1:10" s="4" customFormat="1" ht="17" customHeight="1" thickBot="1" x14ac:dyDescent="0.2">
      <c r="B85" s="26"/>
      <c r="C85" s="11"/>
      <c r="D85" s="11"/>
      <c r="E85" s="78" t="s">
        <v>109</v>
      </c>
      <c r="F85" s="23"/>
      <c r="G85" s="93"/>
      <c r="H85" s="11"/>
      <c r="I85" s="11"/>
    </row>
    <row r="86" spans="1:10" s="4" customFormat="1" ht="17" customHeight="1" thickBot="1" x14ac:dyDescent="0.2">
      <c r="B86" s="26"/>
      <c r="C86" s="11"/>
      <c r="D86" s="120" t="str">
        <f>B69&amp;" ADA Reasonable?"</f>
        <v>2024-25 ADA Reasonable?</v>
      </c>
      <c r="E86" s="34" t="s">
        <v>113</v>
      </c>
      <c r="F86" s="23"/>
      <c r="G86" s="466" t="s">
        <v>37</v>
      </c>
      <c r="H86" s="467"/>
      <c r="I86" s="468"/>
    </row>
    <row r="87" spans="1:10" s="4" customFormat="1" ht="17" customHeight="1" thickBot="1" x14ac:dyDescent="0.2">
      <c r="B87" s="20" t="str">
        <f>"2nd Subsequent Year "&amp;B69</f>
        <v>2nd Subsequent Year 2024-25</v>
      </c>
      <c r="C87" s="11"/>
      <c r="E87" s="22" t="s">
        <v>108</v>
      </c>
      <c r="F87" s="27" t="s">
        <v>38</v>
      </c>
      <c r="G87" s="119" t="s">
        <v>39</v>
      </c>
      <c r="H87" s="117"/>
      <c r="I87" s="118"/>
    </row>
    <row r="88" spans="1:10" s="4" customFormat="1" ht="17" customHeight="1" x14ac:dyDescent="0.15">
      <c r="B88" s="11" t="s">
        <v>40</v>
      </c>
      <c r="C88" s="11"/>
      <c r="D88" s="11"/>
      <c r="E88" s="24">
        <f>E52</f>
        <v>0</v>
      </c>
      <c r="F88" s="24">
        <f>H52</f>
        <v>0</v>
      </c>
      <c r="G88" s="460"/>
      <c r="H88" s="461"/>
      <c r="I88" s="462"/>
    </row>
    <row r="89" spans="1:10" s="4" customFormat="1" ht="17" customHeight="1" x14ac:dyDescent="0.15">
      <c r="B89" s="11" t="s">
        <v>110</v>
      </c>
      <c r="C89" s="11"/>
      <c r="D89" s="11"/>
      <c r="E89" s="403" t="str">
        <f>IF($E$53="Insufficient History","Insufficient History",IF(E88&lt;=$E$53,"Meets","Not Met"))</f>
        <v>Meets</v>
      </c>
      <c r="F89" s="403" t="str">
        <f>IF($H$53="Insufficient History","Insufficient History",IF(F88&lt;=$H$53,"Meets","Not Met"))</f>
        <v>Meets</v>
      </c>
      <c r="G89" s="460"/>
      <c r="H89" s="461"/>
      <c r="I89" s="462"/>
    </row>
    <row r="90" spans="1:10" s="4" customFormat="1" ht="17" customHeight="1" x14ac:dyDescent="0.15">
      <c r="B90" s="11" t="s">
        <v>41</v>
      </c>
      <c r="C90" s="11"/>
      <c r="D90" s="11"/>
      <c r="E90" s="114">
        <f>C52</f>
        <v>2170.6099999999997</v>
      </c>
      <c r="F90" s="116">
        <f>F52</f>
        <v>2166</v>
      </c>
      <c r="G90" s="460"/>
      <c r="H90" s="461"/>
      <c r="I90" s="462"/>
    </row>
    <row r="91" spans="1:10" s="4" customFormat="1" ht="17" customHeight="1" x14ac:dyDescent="0.15">
      <c r="B91" s="13"/>
      <c r="E91" s="12"/>
      <c r="F91" s="10"/>
      <c r="G91" s="463"/>
      <c r="H91" s="464"/>
      <c r="I91" s="465"/>
    </row>
    <row r="92" spans="1:10" s="53" customFormat="1" ht="19.5" customHeight="1" x14ac:dyDescent="0.15">
      <c r="A92" s="49" t="s">
        <v>120</v>
      </c>
      <c r="B92" s="50"/>
      <c r="C92" s="50"/>
      <c r="D92" s="51"/>
      <c r="E92" s="51"/>
      <c r="F92" s="52"/>
      <c r="G92" s="50"/>
      <c r="H92" s="50"/>
      <c r="I92" s="50"/>
      <c r="J92" s="50"/>
    </row>
    <row r="93" spans="1:10" s="53" customFormat="1" ht="8.25" customHeight="1" thickBot="1" x14ac:dyDescent="0.2">
      <c r="A93" s="59"/>
      <c r="B93" s="100"/>
      <c r="C93" s="100"/>
      <c r="D93" s="101"/>
      <c r="E93" s="101"/>
      <c r="F93" s="102"/>
      <c r="G93" s="100"/>
      <c r="H93" s="100"/>
      <c r="I93" s="100"/>
      <c r="J93" s="100"/>
    </row>
    <row r="94" spans="1:10" ht="17" customHeight="1" x14ac:dyDescent="0.2">
      <c r="A94" s="15"/>
      <c r="B94" s="490" t="s">
        <v>146</v>
      </c>
      <c r="C94" s="490"/>
      <c r="D94" s="490"/>
      <c r="E94" s="490"/>
      <c r="F94" s="490"/>
      <c r="H94" s="446" t="s">
        <v>239</v>
      </c>
      <c r="I94" s="447"/>
      <c r="J94" s="448"/>
    </row>
    <row r="95" spans="1:10" ht="17" customHeight="1" x14ac:dyDescent="0.2">
      <c r="A95" s="15"/>
      <c r="B95" s="490"/>
      <c r="C95" s="490"/>
      <c r="D95" s="490"/>
      <c r="E95" s="490"/>
      <c r="F95" s="490"/>
      <c r="G95" s="364"/>
      <c r="H95" s="365" t="str">
        <f>B107</f>
        <v>2022-23</v>
      </c>
      <c r="I95" s="363" t="str">
        <f>B108</f>
        <v>2023-24</v>
      </c>
      <c r="J95" s="366" t="str">
        <f>B109</f>
        <v>2024-25</v>
      </c>
    </row>
    <row r="96" spans="1:10" ht="17" customHeight="1" thickBot="1" x14ac:dyDescent="0.25">
      <c r="A96" s="15"/>
      <c r="B96" s="94"/>
      <c r="C96" s="94"/>
      <c r="D96" s="94"/>
      <c r="E96" s="94"/>
      <c r="F96" s="84"/>
      <c r="G96" s="367"/>
      <c r="H96" s="368">
        <f>Data!C78</f>
        <v>0.13500000000000001</v>
      </c>
      <c r="I96" s="369">
        <f>Data!D78</f>
        <v>0.12</v>
      </c>
      <c r="J96" s="370">
        <f>Data!E78</f>
        <v>0.105</v>
      </c>
    </row>
    <row r="97" spans="1:10" thickBot="1" x14ac:dyDescent="0.25">
      <c r="A97" s="15"/>
      <c r="B97" s="83"/>
      <c r="D97" s="16"/>
      <c r="G97" s="29"/>
      <c r="H97" s="21"/>
      <c r="I97" s="29"/>
    </row>
    <row r="98" spans="1:10" ht="29.25" customHeight="1" thickBot="1" x14ac:dyDescent="0.25">
      <c r="B98" s="500" t="s">
        <v>121</v>
      </c>
      <c r="C98" s="500"/>
      <c r="D98" s="501"/>
      <c r="E98" s="47" t="s">
        <v>113</v>
      </c>
      <c r="F98" s="23"/>
      <c r="G98" s="181" t="s">
        <v>42</v>
      </c>
      <c r="H98" s="182" t="str">
        <f>IF($C$17="Positive - Charter will meet it's financial obligations in current and 2 subsequent years","Yes","No")</f>
        <v>Yes</v>
      </c>
      <c r="I98" s="183"/>
    </row>
    <row r="99" spans="1:10" ht="26.25" customHeight="1" x14ac:dyDescent="0.2">
      <c r="B99" s="11"/>
      <c r="C99" s="28"/>
      <c r="D99" s="60"/>
      <c r="E99" s="22"/>
      <c r="F99" s="23"/>
      <c r="G99" s="520" t="s">
        <v>116</v>
      </c>
      <c r="H99" s="520"/>
      <c r="I99" s="520"/>
      <c r="J99" s="520"/>
    </row>
    <row r="100" spans="1:10" ht="12.75" customHeight="1" thickBot="1" x14ac:dyDescent="0.25">
      <c r="B100" s="11"/>
      <c r="C100" s="28"/>
      <c r="D100" s="60"/>
      <c r="E100" s="22"/>
      <c r="F100" s="23"/>
      <c r="G100" s="184"/>
      <c r="H100" s="184"/>
      <c r="I100" s="184"/>
      <c r="J100" s="184"/>
    </row>
    <row r="101" spans="1:10" ht="17" customHeight="1" thickBot="1" x14ac:dyDescent="0.25">
      <c r="A101" s="4"/>
      <c r="B101" s="11"/>
      <c r="C101" s="23" t="s">
        <v>241</v>
      </c>
      <c r="D101" s="478" t="s">
        <v>43</v>
      </c>
      <c r="E101" s="479"/>
      <c r="F101" s="479"/>
      <c r="G101" s="479"/>
      <c r="H101" s="479"/>
      <c r="I101" s="479"/>
      <c r="J101" s="480"/>
    </row>
    <row r="102" spans="1:10" ht="17" customHeight="1" x14ac:dyDescent="0.2">
      <c r="B102" s="11"/>
      <c r="C102" s="11" t="s">
        <v>119</v>
      </c>
      <c r="D102" s="185" t="s">
        <v>44</v>
      </c>
      <c r="E102" s="186" t="s">
        <v>45</v>
      </c>
      <c r="F102" s="186" t="s">
        <v>46</v>
      </c>
      <c r="G102" s="186" t="s">
        <v>47</v>
      </c>
      <c r="H102" s="186" t="s">
        <v>48</v>
      </c>
      <c r="I102" s="186" t="s">
        <v>56</v>
      </c>
      <c r="J102" s="96" t="s">
        <v>49</v>
      </c>
    </row>
    <row r="103" spans="1:10" ht="17" customHeight="1" x14ac:dyDescent="0.2">
      <c r="B103" s="11"/>
      <c r="C103" s="11" t="s">
        <v>118</v>
      </c>
      <c r="D103" s="187" t="s">
        <v>51</v>
      </c>
      <c r="E103" s="188" t="s">
        <v>52</v>
      </c>
      <c r="F103" s="188" t="s">
        <v>53</v>
      </c>
      <c r="G103" s="10" t="s">
        <v>54</v>
      </c>
      <c r="H103" s="188" t="s">
        <v>55</v>
      </c>
      <c r="I103" s="363" t="s">
        <v>145</v>
      </c>
      <c r="J103" s="198" t="s">
        <v>57</v>
      </c>
    </row>
    <row r="104" spans="1:10" ht="17" customHeight="1" x14ac:dyDescent="0.2">
      <c r="B104" s="75" t="str">
        <f t="shared" ref="B104:B109" si="5">B47</f>
        <v>2019-20</v>
      </c>
      <c r="C104" s="396"/>
      <c r="D104" s="390">
        <v>6964795</v>
      </c>
      <c r="E104" s="393">
        <v>18418916</v>
      </c>
      <c r="F104" s="390">
        <v>16553587</v>
      </c>
      <c r="G104" s="389">
        <f>+D104+E104-F104</f>
        <v>8830124</v>
      </c>
      <c r="H104" s="389">
        <f t="shared" ref="H104:H109" si="6">E104-F104</f>
        <v>1865329</v>
      </c>
      <c r="I104" s="289"/>
      <c r="J104" s="298" t="str">
        <f t="shared" ref="J104:J106" si="7">IF(H104&lt;0,-H104/F104,"no deficit")</f>
        <v>no deficit</v>
      </c>
    </row>
    <row r="105" spans="1:10" ht="17" customHeight="1" x14ac:dyDescent="0.2">
      <c r="B105" s="75" t="str">
        <f t="shared" si="5"/>
        <v>2020-21</v>
      </c>
      <c r="C105" s="397"/>
      <c r="D105" s="391">
        <v>8830124</v>
      </c>
      <c r="E105" s="391">
        <v>20756502</v>
      </c>
      <c r="F105" s="390">
        <v>18670857</v>
      </c>
      <c r="G105" s="389">
        <f>+D105+E105-F105</f>
        <v>10915769</v>
      </c>
      <c r="H105" s="389">
        <f t="shared" si="6"/>
        <v>2085645</v>
      </c>
      <c r="I105" s="289"/>
      <c r="J105" s="298" t="str">
        <f t="shared" si="7"/>
        <v>no deficit</v>
      </c>
    </row>
    <row r="106" spans="1:10" ht="17" customHeight="1" x14ac:dyDescent="0.2">
      <c r="B106" s="75" t="str">
        <f t="shared" si="5"/>
        <v>2021-22</v>
      </c>
      <c r="C106" s="397"/>
      <c r="D106" s="391">
        <v>10915769</v>
      </c>
      <c r="E106" s="391">
        <v>26599946</v>
      </c>
      <c r="F106" s="390">
        <v>22414095</v>
      </c>
      <c r="G106" s="389">
        <f>C106+D106+E106-F106</f>
        <v>15101620</v>
      </c>
      <c r="H106" s="389">
        <f t="shared" si="6"/>
        <v>4185851</v>
      </c>
      <c r="I106" s="289"/>
      <c r="J106" s="298" t="str">
        <f t="shared" si="7"/>
        <v>no deficit</v>
      </c>
    </row>
    <row r="107" spans="1:10" ht="17" customHeight="1" x14ac:dyDescent="0.2">
      <c r="B107" s="79" t="str">
        <f t="shared" si="5"/>
        <v>2022-23</v>
      </c>
      <c r="C107" s="394">
        <f>Data!C46+Data!C47</f>
        <v>1382588</v>
      </c>
      <c r="D107" s="394">
        <f>Data!C43+Data!C44</f>
        <v>15101620</v>
      </c>
      <c r="E107" s="394">
        <f>Data!C81</f>
        <v>24484392.744502001</v>
      </c>
      <c r="F107" s="395">
        <f>Data!C82</f>
        <v>23062390</v>
      </c>
      <c r="G107" s="395">
        <f>C107+D107+E107-F107</f>
        <v>17906210.744502001</v>
      </c>
      <c r="H107" s="395">
        <f t="shared" si="6"/>
        <v>1422002.7445020005</v>
      </c>
      <c r="I107" s="190" t="str">
        <f>IF(H107&gt;=0,"No",IF(J107&gt;H96,"Yes","No"))</f>
        <v>No</v>
      </c>
      <c r="J107" s="296" t="str">
        <f>IF(H107&lt;0,-H107/F107,"no deficit")</f>
        <v>no deficit</v>
      </c>
    </row>
    <row r="108" spans="1:10" ht="17" customHeight="1" x14ac:dyDescent="0.2">
      <c r="B108" s="79" t="str">
        <f t="shared" si="5"/>
        <v>2023-24</v>
      </c>
      <c r="C108" s="398"/>
      <c r="D108" s="394">
        <f>Data!C49</f>
        <v>17906211</v>
      </c>
      <c r="E108" s="394">
        <f>Data!D81</f>
        <v>26358721.999501999</v>
      </c>
      <c r="F108" s="395">
        <f>Data!D82</f>
        <v>26560742.32</v>
      </c>
      <c r="G108" s="395">
        <f>C108+D108+E108-F108</f>
        <v>17704190.679502003</v>
      </c>
      <c r="H108" s="395">
        <f t="shared" si="6"/>
        <v>-202020.32049800083</v>
      </c>
      <c r="I108" s="190" t="str">
        <f t="shared" ref="I108:I109" si="8">IF(H108&gt;=0,"No",IF(H108&lt;0,"Yes","No"))</f>
        <v>Yes</v>
      </c>
      <c r="J108" s="296">
        <f>IF(H108&lt;0,-H108/F108,"no deficit")</f>
        <v>7.6059741879232548E-3</v>
      </c>
    </row>
    <row r="109" spans="1:10" ht="17" customHeight="1" x14ac:dyDescent="0.2">
      <c r="B109" s="80" t="str">
        <f t="shared" si="5"/>
        <v>2024-25</v>
      </c>
      <c r="C109" s="398"/>
      <c r="D109" s="394">
        <f>Data!D49</f>
        <v>17704191</v>
      </c>
      <c r="E109" s="394">
        <f>Data!E81</f>
        <v>27208004.025001999</v>
      </c>
      <c r="F109" s="395">
        <f>Data!E82</f>
        <v>28081039.277850002</v>
      </c>
      <c r="G109" s="395">
        <f>C109+D109+E109-F109</f>
        <v>16831155.747152001</v>
      </c>
      <c r="H109" s="395">
        <f t="shared" si="6"/>
        <v>-873035.25284800306</v>
      </c>
      <c r="I109" s="190" t="str">
        <f t="shared" si="8"/>
        <v>Yes</v>
      </c>
      <c r="J109" s="299">
        <f>IF(H109&lt;0,-H109/F109,"no deficit")</f>
        <v>3.108984835673953E-2</v>
      </c>
    </row>
    <row r="110" spans="1:10" ht="6.75" customHeight="1" x14ac:dyDescent="0.2">
      <c r="B110" s="27"/>
      <c r="C110" s="193"/>
      <c r="D110" s="193"/>
      <c r="E110" s="193"/>
      <c r="F110" s="193"/>
      <c r="G110" s="193"/>
      <c r="H110" s="193"/>
      <c r="I110" s="28"/>
      <c r="J110" s="194"/>
    </row>
    <row r="111" spans="1:10" ht="15.75" customHeight="1" x14ac:dyDescent="0.2">
      <c r="B111" s="18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balance plus audit adjustments does not equal prior year audited ending fund balance.</v>
      </c>
      <c r="C111" s="193"/>
      <c r="D111" s="193"/>
      <c r="E111" s="193"/>
      <c r="F111" s="193"/>
      <c r="G111" s="193"/>
      <c r="H111" s="193"/>
      <c r="I111" s="28"/>
      <c r="J111" s="194"/>
    </row>
    <row r="112" spans="1:10" thickBot="1" x14ac:dyDescent="0.25">
      <c r="B112" s="17"/>
      <c r="C112" s="193"/>
      <c r="D112" s="193"/>
      <c r="E112" s="193"/>
      <c r="F112" s="193"/>
      <c r="G112" s="193"/>
      <c r="H112" s="193"/>
      <c r="I112" s="28"/>
      <c r="J112" s="194"/>
    </row>
    <row r="113" spans="2:10" ht="17" customHeight="1" thickBot="1" x14ac:dyDescent="0.25">
      <c r="B113" s="528" t="s">
        <v>209</v>
      </c>
      <c r="C113" s="529"/>
      <c r="D113" s="529"/>
      <c r="E113" s="529"/>
      <c r="F113" s="529"/>
      <c r="G113" s="529"/>
      <c r="H113" s="529"/>
      <c r="I113" s="529"/>
      <c r="J113" s="530"/>
    </row>
    <row r="114" spans="2:10" ht="33" customHeight="1" x14ac:dyDescent="0.2">
      <c r="B114" s="451" t="s">
        <v>354</v>
      </c>
      <c r="C114" s="487"/>
      <c r="D114" s="487"/>
      <c r="E114" s="487"/>
      <c r="F114" s="487"/>
      <c r="G114" s="487"/>
      <c r="H114" s="487"/>
      <c r="I114" s="487"/>
      <c r="J114" s="488"/>
    </row>
    <row r="115" spans="2:10" ht="17" customHeight="1" thickBot="1" x14ac:dyDescent="0.25">
      <c r="B115" s="23"/>
      <c r="C115" s="23"/>
      <c r="D115" s="195"/>
      <c r="E115" s="195"/>
      <c r="F115" s="196"/>
      <c r="G115" s="196"/>
      <c r="H115" s="195"/>
      <c r="I115" s="27"/>
      <c r="J115" s="194"/>
    </row>
    <row r="116" spans="2:10" ht="17" customHeight="1" thickBot="1" x14ac:dyDescent="0.25">
      <c r="B116" s="23"/>
      <c r="C116" s="23" t="s">
        <v>241</v>
      </c>
      <c r="D116" s="478" t="s">
        <v>58</v>
      </c>
      <c r="E116" s="479"/>
      <c r="F116" s="479"/>
      <c r="G116" s="479"/>
      <c r="H116" s="480"/>
      <c r="I116" s="27"/>
      <c r="J116" s="27"/>
    </row>
    <row r="117" spans="2:10" ht="17" customHeight="1" x14ac:dyDescent="0.2">
      <c r="B117" s="11"/>
      <c r="C117" s="11" t="s">
        <v>119</v>
      </c>
      <c r="D117" s="185" t="s">
        <v>44</v>
      </c>
      <c r="E117" s="186" t="s">
        <v>45</v>
      </c>
      <c r="F117" s="186" t="s">
        <v>46</v>
      </c>
      <c r="G117" s="186" t="s">
        <v>47</v>
      </c>
      <c r="H117" s="197" t="s">
        <v>48</v>
      </c>
      <c r="I117" s="4"/>
      <c r="J117" s="186"/>
    </row>
    <row r="118" spans="2:10" ht="17" customHeight="1" x14ac:dyDescent="0.2">
      <c r="B118" s="11"/>
      <c r="C118" s="11" t="s">
        <v>118</v>
      </c>
      <c r="D118" s="187" t="s">
        <v>51</v>
      </c>
      <c r="E118" s="188" t="s">
        <v>52</v>
      </c>
      <c r="F118" s="188" t="s">
        <v>53</v>
      </c>
      <c r="G118" s="10" t="s">
        <v>54</v>
      </c>
      <c r="H118" s="198" t="s">
        <v>55</v>
      </c>
      <c r="I118" s="10"/>
      <c r="J118" s="199"/>
    </row>
    <row r="119" spans="2:10" ht="17" customHeight="1" x14ac:dyDescent="0.2">
      <c r="B119" s="75" t="str">
        <f t="shared" ref="B119:B124" si="9">B104</f>
        <v>2019-20</v>
      </c>
      <c r="C119" s="189"/>
      <c r="D119" s="390"/>
      <c r="E119" s="390"/>
      <c r="F119" s="390"/>
      <c r="G119" s="389">
        <f>+D119+E119-F119</f>
        <v>0</v>
      </c>
      <c r="H119" s="389">
        <f t="shared" ref="H119:H124" si="10">E119-F119</f>
        <v>0</v>
      </c>
      <c r="I119" s="27"/>
      <c r="J119" s="194"/>
    </row>
    <row r="120" spans="2:10" ht="17" customHeight="1" x14ac:dyDescent="0.2">
      <c r="B120" s="75" t="str">
        <f t="shared" si="9"/>
        <v>2020-21</v>
      </c>
      <c r="C120" s="191"/>
      <c r="D120" s="391"/>
      <c r="E120" s="391"/>
      <c r="F120" s="390"/>
      <c r="G120" s="389">
        <f>+D120+E120-F120</f>
        <v>0</v>
      </c>
      <c r="H120" s="389">
        <f t="shared" si="10"/>
        <v>0</v>
      </c>
      <c r="I120" s="28"/>
      <c r="J120" s="194"/>
    </row>
    <row r="121" spans="2:10" ht="17" customHeight="1" x14ac:dyDescent="0.2">
      <c r="B121" s="75" t="str">
        <f t="shared" si="9"/>
        <v>2021-22</v>
      </c>
      <c r="C121" s="191"/>
      <c r="D121" s="392"/>
      <c r="E121" s="392"/>
      <c r="F121" s="393"/>
      <c r="G121" s="389">
        <f>C121+D121+E121-F121</f>
        <v>0</v>
      </c>
      <c r="H121" s="389">
        <f t="shared" si="10"/>
        <v>0</v>
      </c>
      <c r="I121" s="200"/>
      <c r="J121" s="194"/>
    </row>
    <row r="122" spans="2:10" ht="17" customHeight="1" x14ac:dyDescent="0.2">
      <c r="B122" s="79" t="str">
        <f t="shared" si="9"/>
        <v>2022-23</v>
      </c>
      <c r="C122" s="201">
        <f>Data!C65+Data!C66</f>
        <v>0</v>
      </c>
      <c r="D122" s="394">
        <f>Data!C64</f>
        <v>0</v>
      </c>
      <c r="E122" s="394">
        <f>Data!C84</f>
        <v>6549535.7264802</v>
      </c>
      <c r="F122" s="395">
        <f>Data!C85</f>
        <v>5678196</v>
      </c>
      <c r="G122" s="395">
        <f>C122+D122+E122-F122</f>
        <v>871339.72648019996</v>
      </c>
      <c r="H122" s="395">
        <f t="shared" si="10"/>
        <v>871339.72648019996</v>
      </c>
      <c r="I122" s="28"/>
      <c r="J122" s="194"/>
    </row>
    <row r="123" spans="2:10" ht="17" customHeight="1" x14ac:dyDescent="0.2">
      <c r="B123" s="79" t="str">
        <f t="shared" si="9"/>
        <v>2023-24</v>
      </c>
      <c r="C123" s="191"/>
      <c r="D123" s="394">
        <f>Data!C68</f>
        <v>871340</v>
      </c>
      <c r="E123" s="394">
        <f>Data!D84</f>
        <v>4662668.2045801999</v>
      </c>
      <c r="F123" s="395">
        <f>Data!D85</f>
        <v>5227088.03</v>
      </c>
      <c r="G123" s="395">
        <f>C123+D123+E123-F123</f>
        <v>306920.17458019964</v>
      </c>
      <c r="H123" s="395">
        <f t="shared" si="10"/>
        <v>-564419.82541980036</v>
      </c>
      <c r="I123" s="202"/>
      <c r="J123" s="194"/>
    </row>
    <row r="124" spans="2:10" ht="17" customHeight="1" x14ac:dyDescent="0.2">
      <c r="B124" s="80" t="str">
        <f t="shared" si="9"/>
        <v>2024-25</v>
      </c>
      <c r="C124" s="191"/>
      <c r="D124" s="394">
        <f>Data!D68</f>
        <v>306920</v>
      </c>
      <c r="E124" s="394">
        <f>Data!E84</f>
        <v>4910042.3461139398</v>
      </c>
      <c r="F124" s="395">
        <f>Data!E85</f>
        <v>5216962.6164000006</v>
      </c>
      <c r="G124" s="395">
        <f>C124+D124+E124-F124</f>
        <v>-0.27028606086969376</v>
      </c>
      <c r="H124" s="395">
        <f t="shared" si="10"/>
        <v>-306920.27028606087</v>
      </c>
      <c r="I124" s="28"/>
      <c r="J124" s="194"/>
    </row>
    <row r="125" spans="2:10" ht="8.25" customHeight="1" x14ac:dyDescent="0.2">
      <c r="B125" s="27"/>
      <c r="C125" s="193"/>
      <c r="D125" s="193"/>
      <c r="E125" s="193"/>
      <c r="F125" s="193"/>
      <c r="G125" s="193"/>
      <c r="H125" s="203"/>
      <c r="I125" s="28"/>
      <c r="J125" s="194"/>
    </row>
    <row r="126" spans="2:10" ht="17" customHeight="1" x14ac:dyDescent="0.2">
      <c r="B126" s="18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193"/>
      <c r="D126" s="193"/>
      <c r="E126" s="193"/>
      <c r="F126" s="193"/>
      <c r="G126" s="193"/>
      <c r="H126" s="193"/>
      <c r="I126" s="28"/>
      <c r="J126" s="194"/>
    </row>
    <row r="127" spans="2:10" ht="17" customHeight="1" thickBot="1" x14ac:dyDescent="0.25">
      <c r="B127" s="27"/>
      <c r="C127" s="193"/>
      <c r="D127" s="193"/>
      <c r="E127" s="193"/>
      <c r="F127" s="193"/>
      <c r="G127" s="193"/>
      <c r="H127" s="193"/>
      <c r="I127" s="28"/>
      <c r="J127" s="194"/>
    </row>
    <row r="128" spans="2:10" ht="17" customHeight="1" thickBot="1" x14ac:dyDescent="0.25">
      <c r="B128" s="528" t="s">
        <v>208</v>
      </c>
      <c r="C128" s="529"/>
      <c r="D128" s="529"/>
      <c r="E128" s="529"/>
      <c r="F128" s="529"/>
      <c r="G128" s="529"/>
      <c r="H128" s="529"/>
      <c r="I128" s="529"/>
      <c r="J128" s="530"/>
    </row>
    <row r="129" spans="1:10" ht="33" customHeight="1" x14ac:dyDescent="0.2">
      <c r="B129" s="451" t="s">
        <v>349</v>
      </c>
      <c r="C129" s="487"/>
      <c r="D129" s="487"/>
      <c r="E129" s="487"/>
      <c r="F129" s="487"/>
      <c r="G129" s="487"/>
      <c r="H129" s="487"/>
      <c r="I129" s="487"/>
      <c r="J129" s="488"/>
    </row>
    <row r="130" spans="1:10" ht="17" customHeight="1" thickBot="1" x14ac:dyDescent="0.25">
      <c r="B130" s="23"/>
      <c r="C130" s="204"/>
      <c r="D130" s="204"/>
      <c r="E130" s="204"/>
      <c r="F130" s="204"/>
      <c r="G130" s="204"/>
      <c r="H130" s="205"/>
      <c r="I130" s="28"/>
      <c r="J130" s="194"/>
    </row>
    <row r="131" spans="1:10" ht="17" customHeight="1" thickBot="1" x14ac:dyDescent="0.25">
      <c r="A131" s="4"/>
      <c r="B131" s="11"/>
      <c r="C131" s="23" t="s">
        <v>241</v>
      </c>
      <c r="D131" s="478" t="s">
        <v>59</v>
      </c>
      <c r="E131" s="479"/>
      <c r="F131" s="479"/>
      <c r="G131" s="479"/>
      <c r="H131" s="480"/>
      <c r="I131" s="27"/>
      <c r="J131" s="206"/>
    </row>
    <row r="132" spans="1:10" ht="17" customHeight="1" x14ac:dyDescent="0.2">
      <c r="B132" s="11"/>
      <c r="C132" s="11" t="s">
        <v>119</v>
      </c>
      <c r="D132" s="185" t="s">
        <v>44</v>
      </c>
      <c r="E132" s="186" t="s">
        <v>45</v>
      </c>
      <c r="F132" s="186" t="s">
        <v>46</v>
      </c>
      <c r="G132" s="186" t="s">
        <v>47</v>
      </c>
      <c r="H132" s="197" t="s">
        <v>48</v>
      </c>
      <c r="I132" s="4"/>
      <c r="J132" s="186"/>
    </row>
    <row r="133" spans="1:10" ht="17" customHeight="1" x14ac:dyDescent="0.2">
      <c r="B133" s="11"/>
      <c r="C133" s="11" t="s">
        <v>118</v>
      </c>
      <c r="D133" s="187" t="s">
        <v>51</v>
      </c>
      <c r="E133" s="188" t="s">
        <v>52</v>
      </c>
      <c r="F133" s="188" t="s">
        <v>53</v>
      </c>
      <c r="G133" s="10" t="s">
        <v>54</v>
      </c>
      <c r="H133" s="198" t="s">
        <v>55</v>
      </c>
      <c r="I133" s="10"/>
      <c r="J133" s="199"/>
    </row>
    <row r="134" spans="1:10" ht="17" customHeight="1" x14ac:dyDescent="0.2">
      <c r="B134" s="75" t="str">
        <f t="shared" ref="B134:B139" si="11">B119</f>
        <v>2019-20</v>
      </c>
      <c r="C134" s="207"/>
      <c r="D134" s="389">
        <f t="shared" ref="D134:H136" si="12">D104+D119</f>
        <v>6964795</v>
      </c>
      <c r="E134" s="389">
        <f t="shared" si="12"/>
        <v>18418916</v>
      </c>
      <c r="F134" s="389">
        <f t="shared" si="12"/>
        <v>16553587</v>
      </c>
      <c r="G134" s="389">
        <f t="shared" si="12"/>
        <v>8830124</v>
      </c>
      <c r="H134" s="389">
        <f t="shared" si="12"/>
        <v>1865329</v>
      </c>
      <c r="I134" s="28"/>
      <c r="J134" s="194"/>
    </row>
    <row r="135" spans="1:10" ht="17" customHeight="1" x14ac:dyDescent="0.2">
      <c r="B135" s="75" t="str">
        <f t="shared" si="11"/>
        <v>2020-21</v>
      </c>
      <c r="C135" s="208"/>
      <c r="D135" s="389">
        <f t="shared" si="12"/>
        <v>8830124</v>
      </c>
      <c r="E135" s="389">
        <f t="shared" si="12"/>
        <v>20756502</v>
      </c>
      <c r="F135" s="389">
        <f t="shared" si="12"/>
        <v>18670857</v>
      </c>
      <c r="G135" s="389">
        <f t="shared" si="12"/>
        <v>10915769</v>
      </c>
      <c r="H135" s="389">
        <f t="shared" si="12"/>
        <v>2085645</v>
      </c>
      <c r="I135" s="28"/>
      <c r="J135" s="194"/>
    </row>
    <row r="136" spans="1:10" ht="17" customHeight="1" x14ac:dyDescent="0.2">
      <c r="B136" s="75" t="str">
        <f t="shared" si="11"/>
        <v>2021-22</v>
      </c>
      <c r="C136" s="208"/>
      <c r="D136" s="389">
        <f t="shared" si="12"/>
        <v>10915769</v>
      </c>
      <c r="E136" s="389">
        <f t="shared" si="12"/>
        <v>26599946</v>
      </c>
      <c r="F136" s="389">
        <f t="shared" si="12"/>
        <v>22414095</v>
      </c>
      <c r="G136" s="389">
        <f t="shared" si="12"/>
        <v>15101620</v>
      </c>
      <c r="H136" s="389">
        <f t="shared" si="12"/>
        <v>4185851</v>
      </c>
      <c r="I136" s="28"/>
      <c r="J136" s="194"/>
    </row>
    <row r="137" spans="1:10" ht="17" customHeight="1" x14ac:dyDescent="0.2">
      <c r="B137" s="79" t="str">
        <f t="shared" si="11"/>
        <v>2022-23</v>
      </c>
      <c r="C137" s="201">
        <f t="shared" ref="C137:F139" si="13">C107+C122</f>
        <v>1382588</v>
      </c>
      <c r="D137" s="389">
        <f t="shared" si="13"/>
        <v>15101620</v>
      </c>
      <c r="E137" s="389">
        <f t="shared" si="13"/>
        <v>31033928.470982201</v>
      </c>
      <c r="F137" s="389">
        <f t="shared" si="13"/>
        <v>28740586</v>
      </c>
      <c r="G137" s="389">
        <f>C137+D137+E137-F137</f>
        <v>18777550.470982201</v>
      </c>
      <c r="H137" s="389">
        <f>E137-F137</f>
        <v>2293342.4709822014</v>
      </c>
      <c r="I137" s="28"/>
      <c r="J137" s="194"/>
    </row>
    <row r="138" spans="1:10" ht="17" customHeight="1" x14ac:dyDescent="0.2">
      <c r="B138" s="79" t="str">
        <f t="shared" si="11"/>
        <v>2023-24</v>
      </c>
      <c r="C138" s="208"/>
      <c r="D138" s="389">
        <f t="shared" si="13"/>
        <v>18777551</v>
      </c>
      <c r="E138" s="389">
        <f t="shared" si="13"/>
        <v>31021390.204082198</v>
      </c>
      <c r="F138" s="389">
        <f t="shared" si="13"/>
        <v>31787830.350000001</v>
      </c>
      <c r="G138" s="389">
        <f>G108+G123</f>
        <v>18011110.854082204</v>
      </c>
      <c r="H138" s="389">
        <f>H108+H123</f>
        <v>-766440.14591780119</v>
      </c>
      <c r="I138" s="28"/>
      <c r="J138" s="194"/>
    </row>
    <row r="139" spans="1:10" ht="17" customHeight="1" x14ac:dyDescent="0.2">
      <c r="B139" s="80" t="str">
        <f t="shared" si="11"/>
        <v>2024-25</v>
      </c>
      <c r="C139" s="208"/>
      <c r="D139" s="389">
        <f t="shared" si="13"/>
        <v>18011111</v>
      </c>
      <c r="E139" s="389">
        <f t="shared" si="13"/>
        <v>32118046.371115938</v>
      </c>
      <c r="F139" s="389">
        <f t="shared" si="13"/>
        <v>33298001.894250002</v>
      </c>
      <c r="G139" s="389">
        <f>G109+G124</f>
        <v>16831155.47686594</v>
      </c>
      <c r="H139" s="389">
        <f>H109+H124</f>
        <v>-1179955.5231340639</v>
      </c>
      <c r="I139" s="28"/>
      <c r="J139" s="194"/>
    </row>
    <row r="140" spans="1:10" ht="17" customHeight="1" thickBot="1" x14ac:dyDescent="0.25">
      <c r="B140" s="23"/>
      <c r="C140" s="195"/>
      <c r="D140" s="195"/>
      <c r="E140" s="196"/>
      <c r="F140" s="196"/>
      <c r="G140" s="195"/>
      <c r="H140" s="28"/>
      <c r="I140" s="194"/>
    </row>
    <row r="141" spans="1:10" ht="33.75" customHeight="1" thickBot="1" x14ac:dyDescent="0.25">
      <c r="B141" s="497" t="s">
        <v>207</v>
      </c>
      <c r="C141" s="498"/>
      <c r="D141" s="498"/>
      <c r="E141" s="498"/>
      <c r="F141" s="498"/>
      <c r="G141" s="498"/>
      <c r="H141" s="498"/>
      <c r="I141" s="498"/>
      <c r="J141" s="499"/>
    </row>
    <row r="142" spans="1:10" ht="39.75" customHeight="1" x14ac:dyDescent="0.2">
      <c r="B142" s="475"/>
      <c r="C142" s="476"/>
      <c r="D142" s="476"/>
      <c r="E142" s="476"/>
      <c r="F142" s="476"/>
      <c r="G142" s="476"/>
      <c r="H142" s="476"/>
      <c r="I142" s="476"/>
      <c r="J142" s="477"/>
    </row>
    <row r="143" spans="1:10" ht="17" customHeight="1" x14ac:dyDescent="0.2">
      <c r="B143" s="209"/>
      <c r="C143" s="210"/>
      <c r="D143" s="210"/>
      <c r="E143" s="211"/>
      <c r="F143" s="4" t="s">
        <v>24</v>
      </c>
      <c r="G143" s="212"/>
    </row>
    <row r="144" spans="1:10" s="53" customFormat="1" ht="19.5" customHeight="1" x14ac:dyDescent="0.15">
      <c r="A144" s="49" t="s">
        <v>173</v>
      </c>
      <c r="B144" s="50"/>
      <c r="C144" s="50"/>
      <c r="D144" s="51"/>
      <c r="E144" s="51"/>
      <c r="F144" s="52"/>
      <c r="G144" s="50"/>
      <c r="H144" s="50"/>
      <c r="I144" s="50"/>
      <c r="J144" s="50"/>
    </row>
    <row r="145" spans="1:12" s="4" customFormat="1" ht="17" customHeight="1" x14ac:dyDescent="0.2">
      <c r="B145" s="17" t="s">
        <v>61</v>
      </c>
      <c r="C145" s="120"/>
      <c r="D145" s="120"/>
      <c r="E145" s="22"/>
      <c r="F145" s="23"/>
      <c r="G145" s="213"/>
      <c r="I145" s="213"/>
      <c r="J145" s="1"/>
      <c r="K145" s="1"/>
      <c r="L145" s="1"/>
    </row>
    <row r="146" spans="1:12" s="4" customFormat="1" ht="17" customHeight="1" x14ac:dyDescent="0.2">
      <c r="B146" s="120"/>
      <c r="C146" s="120"/>
      <c r="D146" s="120"/>
      <c r="E146" s="472" t="str">
        <f>B137</f>
        <v>2022-23</v>
      </c>
      <c r="F146" s="473"/>
      <c r="G146" s="472" t="str">
        <f>B138</f>
        <v>2023-24</v>
      </c>
      <c r="H146" s="473"/>
      <c r="I146" s="472" t="str">
        <f>B139</f>
        <v>2024-25</v>
      </c>
      <c r="J146" s="472"/>
      <c r="K146" s="1"/>
      <c r="L146" s="1"/>
    </row>
    <row r="147" spans="1:12" s="4" customFormat="1" ht="17" customHeight="1" x14ac:dyDescent="0.2">
      <c r="B147" s="120"/>
      <c r="C147" s="120"/>
      <c r="D147" s="120"/>
      <c r="E147" s="239" t="s">
        <v>62</v>
      </c>
      <c r="F147" s="240" t="s">
        <v>63</v>
      </c>
      <c r="G147" s="239" t="s">
        <v>62</v>
      </c>
      <c r="H147" s="240" t="s">
        <v>63</v>
      </c>
      <c r="I147" s="239" t="s">
        <v>62</v>
      </c>
      <c r="J147" s="240" t="s">
        <v>63</v>
      </c>
      <c r="K147" s="1"/>
      <c r="L147" s="1"/>
    </row>
    <row r="148" spans="1:12" ht="17" customHeight="1" x14ac:dyDescent="0.2">
      <c r="A148" s="4"/>
      <c r="B148" s="496" t="s">
        <v>205</v>
      </c>
      <c r="C148" s="496"/>
      <c r="D148" s="496"/>
      <c r="E148" s="241">
        <f>E107</f>
        <v>24484392.744502001</v>
      </c>
      <c r="F148" s="241">
        <f>E122</f>
        <v>6549535.7264802</v>
      </c>
      <c r="G148" s="242">
        <f>E108</f>
        <v>26358721.999501999</v>
      </c>
      <c r="H148" s="242">
        <f>E123</f>
        <v>4662668.2045801999</v>
      </c>
      <c r="I148" s="242">
        <f>E109</f>
        <v>27208004.025001999</v>
      </c>
      <c r="J148" s="242">
        <f>E124</f>
        <v>4910042.3461139398</v>
      </c>
    </row>
    <row r="149" spans="1:12" ht="17" customHeight="1" x14ac:dyDescent="0.2">
      <c r="A149" s="4"/>
      <c r="B149" s="496" t="s">
        <v>206</v>
      </c>
      <c r="C149" s="496"/>
      <c r="D149" s="496"/>
      <c r="E149" s="241">
        <f>F107</f>
        <v>23062390</v>
      </c>
      <c r="F149" s="241">
        <f>F122</f>
        <v>5678196</v>
      </c>
      <c r="G149" s="242">
        <f>F108</f>
        <v>26560742.32</v>
      </c>
      <c r="H149" s="242">
        <f>F123</f>
        <v>5227088.03</v>
      </c>
      <c r="I149" s="242">
        <f>F109</f>
        <v>28081039.277850002</v>
      </c>
      <c r="J149" s="242">
        <f>F124</f>
        <v>5216962.6164000006</v>
      </c>
    </row>
    <row r="150" spans="1:12" ht="17" customHeight="1" x14ac:dyDescent="0.2">
      <c r="A150" s="4"/>
      <c r="B150" s="496" t="s">
        <v>64</v>
      </c>
      <c r="C150" s="496"/>
      <c r="D150" s="496"/>
      <c r="E150" s="192">
        <f>C107+D107</f>
        <v>16484208</v>
      </c>
      <c r="F150" s="192">
        <f>D122</f>
        <v>0</v>
      </c>
      <c r="G150" s="241">
        <f>D108</f>
        <v>17906211</v>
      </c>
      <c r="H150" s="241">
        <f>D123</f>
        <v>871340</v>
      </c>
      <c r="I150" s="241">
        <f>G151</f>
        <v>17704190.679502003</v>
      </c>
      <c r="J150" s="241">
        <f>H151</f>
        <v>306920.17458019964</v>
      </c>
    </row>
    <row r="151" spans="1:12" ht="17" customHeight="1" thickBot="1" x14ac:dyDescent="0.25">
      <c r="A151" s="4"/>
      <c r="B151" s="516" t="s">
        <v>65</v>
      </c>
      <c r="C151" s="516"/>
      <c r="D151" s="516"/>
      <c r="E151" s="386">
        <f>G107</f>
        <v>17906210.744502001</v>
      </c>
      <c r="F151" s="386">
        <f>G122</f>
        <v>871339.72648019996</v>
      </c>
      <c r="G151" s="386">
        <f>G108</f>
        <v>17704190.679502003</v>
      </c>
      <c r="H151" s="386">
        <f>G123</f>
        <v>306920.17458019964</v>
      </c>
      <c r="I151" s="386">
        <f>I150+I148-I149</f>
        <v>16831155.426653996</v>
      </c>
      <c r="J151" s="386">
        <f>J150+J148-J149</f>
        <v>-9.570586122572422E-2</v>
      </c>
    </row>
    <row r="152" spans="1:12" ht="33" customHeight="1" thickTop="1" x14ac:dyDescent="0.2">
      <c r="A152" s="4"/>
      <c r="B152" s="494" t="s">
        <v>126</v>
      </c>
      <c r="C152" s="494"/>
      <c r="D152" s="495"/>
      <c r="E152" s="243">
        <f>Data!C51+Data!C52+Data!C53+Data!C54+Data!C55+Data!C56+Data!C57</f>
        <v>0</v>
      </c>
      <c r="F152" s="244"/>
      <c r="G152" s="243">
        <f>Data!D51+Data!D52+Data!D53+Data!D54+Data!D55+Data!D56+Data!D57</f>
        <v>0</v>
      </c>
      <c r="H152" s="244"/>
      <c r="I152" s="243">
        <f>Data!E51+Data!E52+Data!E53+Data!E54+Data!E55+Data!E56+Data!E57</f>
        <v>0</v>
      </c>
      <c r="J152" s="244"/>
    </row>
    <row r="153" spans="1:12" ht="17" customHeight="1" x14ac:dyDescent="0.2">
      <c r="A153" s="4"/>
      <c r="B153" s="214" t="s">
        <v>124</v>
      </c>
      <c r="C153" s="215"/>
      <c r="D153" s="215"/>
      <c r="E153" s="241">
        <f>Data!C58</f>
        <v>1153119.5</v>
      </c>
      <c r="F153" s="245"/>
      <c r="G153" s="241">
        <f>Data!D58</f>
        <v>1328037.1160000002</v>
      </c>
      <c r="H153" s="245"/>
      <c r="I153" s="241">
        <f>Data!E58</f>
        <v>1404051.9638925001</v>
      </c>
      <c r="J153" s="245"/>
    </row>
    <row r="154" spans="1:12" ht="17" customHeight="1" thickBot="1" x14ac:dyDescent="0.25">
      <c r="A154" s="4"/>
      <c r="B154" s="214" t="s">
        <v>125</v>
      </c>
      <c r="C154" s="215"/>
      <c r="D154" s="215"/>
      <c r="E154" s="246">
        <f>Data!C59</f>
        <v>10453091.5</v>
      </c>
      <c r="F154" s="245"/>
      <c r="G154" s="246">
        <f>Data!D59</f>
        <v>10076153.884</v>
      </c>
      <c r="H154" s="245"/>
      <c r="I154" s="246">
        <f>Data!E59</f>
        <v>9127104.0361074992</v>
      </c>
      <c r="J154" s="245"/>
    </row>
    <row r="155" spans="1:12" s="9" customFormat="1" ht="33" customHeight="1" thickBot="1" x14ac:dyDescent="0.25">
      <c r="A155" s="46"/>
      <c r="B155" s="441" t="s">
        <v>257</v>
      </c>
      <c r="C155" s="441"/>
      <c r="D155" s="442"/>
      <c r="E155" s="387">
        <f>SUM(E153:E154)</f>
        <v>11606211</v>
      </c>
      <c r="F155" s="247"/>
      <c r="G155" s="387">
        <f>SUM(G153:G154)</f>
        <v>11404191</v>
      </c>
      <c r="H155" s="247"/>
      <c r="I155" s="387">
        <f>SUM(I153:I154)</f>
        <v>10531156</v>
      </c>
      <c r="J155" s="248"/>
    </row>
    <row r="156" spans="1:12" ht="17" customHeight="1" thickBot="1" x14ac:dyDescent="0.25">
      <c r="A156" s="4"/>
      <c r="B156" s="25"/>
      <c r="C156" s="11"/>
      <c r="D156" s="217" t="s">
        <v>123</v>
      </c>
      <c r="E156" s="218">
        <f>ROUND($E$155/(E149+F149),4)</f>
        <v>0.40379999999999999</v>
      </c>
      <c r="F156" s="219"/>
      <c r="G156" s="218">
        <f>$G$155/(G149+H149)</f>
        <v>0.35875965344077027</v>
      </c>
      <c r="H156" s="220"/>
      <c r="I156" s="221">
        <f>$I$155/(I149+J149)</f>
        <v>0.31626990812978933</v>
      </c>
      <c r="J156" s="222"/>
    </row>
    <row r="157" spans="1:12" ht="17" customHeight="1" x14ac:dyDescent="0.2">
      <c r="A157" s="4"/>
      <c r="B157" s="25"/>
      <c r="C157" s="11"/>
      <c r="D157" s="223"/>
      <c r="E157" s="219"/>
      <c r="F157" s="219"/>
      <c r="G157" s="224"/>
      <c r="H157" s="220"/>
      <c r="I157" s="225"/>
      <c r="J157" s="222"/>
    </row>
    <row r="158" spans="1:12" ht="17" customHeight="1" x14ac:dyDescent="0.2">
      <c r="A158" s="4"/>
      <c r="B158" s="17" t="s">
        <v>122</v>
      </c>
      <c r="C158" s="11"/>
      <c r="D158" s="249">
        <f>IF(Data!C75="",Data!C74,Data!C75)</f>
        <v>0.03</v>
      </c>
      <c r="E158" s="388">
        <f>(E149+F149)*D158</f>
        <v>862217.58</v>
      </c>
      <c r="F158" s="249">
        <f>IF(Data!D76="",Data!D75,Data!D76)</f>
        <v>0.03</v>
      </c>
      <c r="G158" s="388">
        <f>(G149+H149)*F158</f>
        <v>953634.9105</v>
      </c>
      <c r="H158" s="249">
        <f>IF(Data!E76="",Data!E75,Data!E76)</f>
        <v>0.03</v>
      </c>
      <c r="I158" s="388">
        <f>(I149+J149)*H158</f>
        <v>998940.0568275</v>
      </c>
      <c r="J158" s="222"/>
    </row>
    <row r="159" spans="1:12" ht="17" customHeight="1" x14ac:dyDescent="0.2">
      <c r="A159" s="4"/>
      <c r="B159" s="17" t="s">
        <v>142</v>
      </c>
      <c r="C159" s="11"/>
      <c r="D159" s="250"/>
      <c r="E159" s="226" t="str">
        <f>IF(E158&lt;E155, "Met","Not Met")</f>
        <v>Met</v>
      </c>
      <c r="F159" s="23"/>
      <c r="G159" s="226" t="str">
        <f>IF(G158&lt;G155, "Met","Not Met")</f>
        <v>Met</v>
      </c>
      <c r="H159" s="23"/>
      <c r="I159" s="226" t="str">
        <f>IF(I158&lt;I155, "Met","Not Met")</f>
        <v>Met</v>
      </c>
    </row>
    <row r="160" spans="1:12" ht="17" customHeight="1" thickBot="1" x14ac:dyDescent="0.25">
      <c r="A160" s="4"/>
      <c r="B160" s="227"/>
      <c r="C160" s="227"/>
      <c r="D160" s="227"/>
      <c r="E160" s="227"/>
      <c r="F160" s="227"/>
      <c r="G160" s="228"/>
      <c r="H160" s="228"/>
      <c r="I160" s="228"/>
    </row>
    <row r="161" spans="1:10" ht="16.5" customHeight="1" thickBot="1" x14ac:dyDescent="0.25">
      <c r="A161" s="14"/>
      <c r="B161" s="502" t="s">
        <v>211</v>
      </c>
      <c r="C161" s="503"/>
      <c r="D161" s="503"/>
      <c r="E161" s="503"/>
      <c r="F161" s="503"/>
      <c r="G161" s="503"/>
      <c r="H161" s="503"/>
      <c r="I161" s="503"/>
      <c r="J161" s="504"/>
    </row>
    <row r="162" spans="1:10" ht="10.5" customHeight="1" x14ac:dyDescent="0.2">
      <c r="A162" s="14"/>
      <c r="B162" s="449" t="s">
        <v>350</v>
      </c>
      <c r="C162" s="469"/>
      <c r="D162" s="469"/>
      <c r="E162" s="469"/>
      <c r="F162" s="469"/>
      <c r="G162" s="469"/>
      <c r="H162" s="469"/>
      <c r="I162" s="469"/>
      <c r="J162" s="450"/>
    </row>
    <row r="163" spans="1:10" ht="31.5" customHeight="1" x14ac:dyDescent="0.2">
      <c r="A163" s="14"/>
      <c r="B163" s="451"/>
      <c r="C163" s="470"/>
      <c r="D163" s="470"/>
      <c r="E163" s="470"/>
      <c r="F163" s="470"/>
      <c r="G163" s="470"/>
      <c r="H163" s="470"/>
      <c r="I163" s="470"/>
      <c r="J163" s="452"/>
    </row>
    <row r="164" spans="1:10" s="4" customFormat="1" ht="16.5" customHeight="1" x14ac:dyDescent="0.15">
      <c r="B164" s="19"/>
      <c r="G164" s="5"/>
      <c r="H164" s="5"/>
      <c r="I164" s="5"/>
    </row>
    <row r="165" spans="1:10" s="53" customFormat="1" ht="19.5" customHeight="1" x14ac:dyDescent="0.15">
      <c r="A165" s="49" t="s">
        <v>67</v>
      </c>
      <c r="B165" s="50"/>
      <c r="C165" s="50"/>
      <c r="D165" s="51"/>
      <c r="E165" s="51"/>
      <c r="F165" s="52"/>
      <c r="G165" s="50"/>
      <c r="H165" s="50"/>
      <c r="I165" s="50"/>
      <c r="J165" s="50"/>
    </row>
    <row r="166" spans="1:10" ht="7.5" customHeight="1" x14ac:dyDescent="0.2">
      <c r="A166" s="9"/>
      <c r="B166" s="9"/>
      <c r="E166" s="1"/>
      <c r="F166" s="1"/>
      <c r="G166" s="1"/>
      <c r="H166" s="1"/>
    </row>
    <row r="167" spans="1:10" ht="17" customHeight="1" x14ac:dyDescent="0.2">
      <c r="A167" s="9"/>
      <c r="B167" s="18" t="s">
        <v>68</v>
      </c>
      <c r="E167" s="27"/>
      <c r="F167" s="229"/>
      <c r="G167" s="230"/>
      <c r="H167" s="230"/>
    </row>
    <row r="168" spans="1:10" ht="17" customHeight="1" x14ac:dyDescent="0.2">
      <c r="A168" s="9"/>
      <c r="B168" s="9"/>
      <c r="E168" s="27"/>
      <c r="F168" s="231" t="str">
        <f>B136</f>
        <v>2021-22</v>
      </c>
      <c r="G168" s="232" t="str">
        <f>B137</f>
        <v>2022-23</v>
      </c>
      <c r="H168" s="232" t="str">
        <f>B138</f>
        <v>2023-24</v>
      </c>
      <c r="I168" s="232" t="str">
        <f>B139</f>
        <v>2024-25</v>
      </c>
    </row>
    <row r="169" spans="1:10" ht="17" customHeight="1" x14ac:dyDescent="0.2">
      <c r="A169" s="9"/>
      <c r="B169" s="11"/>
      <c r="C169" s="481" t="s">
        <v>133</v>
      </c>
      <c r="D169" s="481"/>
      <c r="E169" s="481"/>
      <c r="F169" s="262"/>
      <c r="G169" s="262">
        <v>2118.6799999999998</v>
      </c>
      <c r="H169" s="262">
        <v>2118.6799999999998</v>
      </c>
      <c r="I169" s="262">
        <v>2118.6799999999998</v>
      </c>
    </row>
    <row r="170" spans="1:10" ht="17" customHeight="1" x14ac:dyDescent="0.2">
      <c r="A170" s="9"/>
      <c r="B170" s="11"/>
      <c r="C170" s="227"/>
      <c r="D170" s="227"/>
      <c r="E170" s="227" t="s">
        <v>135</v>
      </c>
      <c r="F170" s="262">
        <v>2133.9499999999998</v>
      </c>
      <c r="G170" s="262">
        <v>2118.6799999999998</v>
      </c>
      <c r="H170" s="262">
        <v>2118.6799999999998</v>
      </c>
      <c r="I170" s="262">
        <v>2118.6799999999998</v>
      </c>
    </row>
    <row r="171" spans="1:10" ht="17" customHeight="1" x14ac:dyDescent="0.2">
      <c r="A171" s="9"/>
      <c r="B171" s="11"/>
      <c r="C171" s="481" t="s">
        <v>134</v>
      </c>
      <c r="D171" s="481"/>
      <c r="E171" s="481"/>
      <c r="F171" s="263">
        <v>2155</v>
      </c>
      <c r="G171" s="263">
        <v>2166</v>
      </c>
      <c r="H171" s="263">
        <v>2166</v>
      </c>
      <c r="I171" s="263">
        <v>2166</v>
      </c>
    </row>
    <row r="172" spans="1:10" ht="17" customHeight="1" x14ac:dyDescent="0.2">
      <c r="A172" s="9"/>
      <c r="B172" s="11"/>
      <c r="C172" s="481" t="s">
        <v>137</v>
      </c>
      <c r="D172" s="481"/>
      <c r="E172" s="481"/>
      <c r="F172" s="263">
        <v>739</v>
      </c>
      <c r="G172" s="263">
        <v>739</v>
      </c>
      <c r="H172" s="263">
        <v>739</v>
      </c>
      <c r="I172" s="263">
        <v>739</v>
      </c>
    </row>
    <row r="173" spans="1:10" ht="17" customHeight="1" x14ac:dyDescent="0.2">
      <c r="A173" s="9"/>
      <c r="B173" s="481" t="s">
        <v>136</v>
      </c>
      <c r="C173" s="481"/>
      <c r="D173" s="481"/>
      <c r="E173" s="519"/>
      <c r="F173" s="382">
        <v>20534004</v>
      </c>
      <c r="G173" s="382">
        <v>23036742</v>
      </c>
      <c r="H173" s="382">
        <v>24283930</v>
      </c>
      <c r="I173" s="382">
        <v>25256471</v>
      </c>
    </row>
    <row r="174" spans="1:10" ht="17" customHeight="1" x14ac:dyDescent="0.2">
      <c r="A174" s="9"/>
      <c r="B174" s="11"/>
      <c r="C174" s="227"/>
      <c r="D174" s="227"/>
      <c r="E174" s="227" t="s">
        <v>69</v>
      </c>
      <c r="F174" s="233"/>
      <c r="G174" s="383">
        <f>Data!C11</f>
        <v>23607444</v>
      </c>
      <c r="H174" s="383">
        <f>Data!D11</f>
        <v>25534830</v>
      </c>
      <c r="I174" s="384">
        <f>Data!E11</f>
        <v>26435554</v>
      </c>
    </row>
    <row r="175" spans="1:10" ht="17" customHeight="1" x14ac:dyDescent="0.2">
      <c r="A175" s="9"/>
      <c r="B175" s="11"/>
      <c r="C175" s="227"/>
      <c r="D175" s="227"/>
      <c r="E175" s="120" t="s">
        <v>202</v>
      </c>
      <c r="F175" s="233"/>
      <c r="G175" s="385">
        <f>G174-G173</f>
        <v>570702</v>
      </c>
      <c r="H175" s="385">
        <f>H174-H173</f>
        <v>1250900</v>
      </c>
      <c r="I175" s="385">
        <f>I174-I173</f>
        <v>1179083</v>
      </c>
    </row>
    <row r="176" spans="1:10" ht="17" customHeight="1" x14ac:dyDescent="0.2">
      <c r="A176" s="9"/>
      <c r="B176" s="11"/>
      <c r="C176" s="227"/>
      <c r="D176" s="227"/>
      <c r="E176" s="120" t="s">
        <v>203</v>
      </c>
      <c r="F176" s="233"/>
      <c r="G176" s="371">
        <f>G175/G173</f>
        <v>2.4773555218876003E-2</v>
      </c>
      <c r="H176" s="371">
        <f>H175/H173</f>
        <v>5.1511431634006524E-2</v>
      </c>
      <c r="I176" s="371">
        <f>I175/I173</f>
        <v>4.6684392289009814E-2</v>
      </c>
    </row>
    <row r="177" spans="1:9" ht="17" customHeight="1" x14ac:dyDescent="0.2">
      <c r="A177" s="9"/>
      <c r="E177" s="27"/>
      <c r="F177" s="229"/>
      <c r="G177" s="234"/>
      <c r="H177" s="22"/>
    </row>
    <row r="178" spans="1:9" ht="17" customHeight="1" x14ac:dyDescent="0.2">
      <c r="A178" s="9"/>
      <c r="B178" s="471" t="s">
        <v>140</v>
      </c>
      <c r="C178" s="471"/>
      <c r="D178" s="471"/>
      <c r="E178" s="471"/>
      <c r="F178" s="474"/>
      <c r="G178" s="235" t="str">
        <f>IF($G$169=$C$50, "Yes","No")</f>
        <v>No</v>
      </c>
      <c r="H178" s="235" t="str">
        <f>IF($H$169=$C$51, "Yes","No")</f>
        <v>No</v>
      </c>
      <c r="I178" s="235" t="str">
        <f>IF($I$169=$C$52, "Yes","No")</f>
        <v>No</v>
      </c>
    </row>
    <row r="179" spans="1:9" ht="17" customHeight="1" x14ac:dyDescent="0.2">
      <c r="A179" s="9"/>
      <c r="B179" s="471" t="s">
        <v>141</v>
      </c>
      <c r="C179" s="471"/>
      <c r="D179" s="471"/>
      <c r="E179" s="471"/>
      <c r="F179" s="474"/>
      <c r="G179" s="235" t="str">
        <f>IF($G$171=$F$50, "Yes","No")</f>
        <v>Yes</v>
      </c>
      <c r="H179" s="235" t="str">
        <f>IF($H$171=$F$51, "Yes","No")</f>
        <v>Yes</v>
      </c>
      <c r="I179" s="235" t="str">
        <f>IF($I$171=$F$52, "Yes","No")</f>
        <v>Yes</v>
      </c>
    </row>
    <row r="180" spans="1:9" ht="17" customHeight="1" thickBot="1" x14ac:dyDescent="0.25">
      <c r="A180" s="9"/>
      <c r="D180" s="515"/>
      <c r="E180" s="515"/>
      <c r="F180" s="515"/>
      <c r="G180" s="230"/>
      <c r="H180" s="236" t="str">
        <f>IF(G180="yes","Amount?","")</f>
        <v/>
      </c>
      <c r="I180" s="22"/>
    </row>
    <row r="181" spans="1:9" ht="17" customHeight="1" thickBot="1" x14ac:dyDescent="0.25">
      <c r="A181" s="9"/>
      <c r="C181" s="502" t="s">
        <v>60</v>
      </c>
      <c r="D181" s="503"/>
      <c r="E181" s="503"/>
      <c r="F181" s="503"/>
      <c r="G181" s="503"/>
      <c r="H181" s="503"/>
      <c r="I181" s="504"/>
    </row>
    <row r="182" spans="1:9" ht="33.75" customHeight="1" x14ac:dyDescent="0.2">
      <c r="A182" s="9"/>
      <c r="C182" s="491"/>
      <c r="D182" s="492"/>
      <c r="E182" s="492"/>
      <c r="F182" s="492"/>
      <c r="G182" s="492"/>
      <c r="H182" s="492"/>
      <c r="I182" s="493"/>
    </row>
    <row r="183" spans="1:9" ht="17" customHeight="1" x14ac:dyDescent="0.2">
      <c r="A183" s="9"/>
      <c r="E183" s="27"/>
      <c r="F183" s="229"/>
      <c r="G183" s="230"/>
      <c r="H183" s="230"/>
    </row>
    <row r="184" spans="1:9" ht="17" customHeight="1" thickBot="1" x14ac:dyDescent="0.25">
      <c r="A184" s="9"/>
      <c r="C184" s="471" t="s">
        <v>139</v>
      </c>
      <c r="D184" s="471"/>
      <c r="E184" s="471"/>
      <c r="F184" s="471"/>
      <c r="G184" s="237" t="str">
        <f>IF($G$175&lt;&gt;0,"No","Yes")</f>
        <v>No</v>
      </c>
      <c r="H184" s="237" t="str">
        <f>IF($H$175&lt;&gt;0,"No","Yes")</f>
        <v>No</v>
      </c>
      <c r="I184" s="237" t="str">
        <f>IF($I$175&lt;&gt;0,"No","Yes")</f>
        <v>No</v>
      </c>
    </row>
    <row r="185" spans="1:9" ht="17" customHeight="1" thickBot="1" x14ac:dyDescent="0.25">
      <c r="A185" s="9"/>
      <c r="C185" s="502" t="s">
        <v>60</v>
      </c>
      <c r="D185" s="503"/>
      <c r="E185" s="503"/>
      <c r="F185" s="503"/>
      <c r="G185" s="503"/>
      <c r="H185" s="503"/>
      <c r="I185" s="504"/>
    </row>
    <row r="186" spans="1:9" ht="34.5" customHeight="1" x14ac:dyDescent="0.2">
      <c r="A186" s="9"/>
      <c r="C186" s="451"/>
      <c r="D186" s="470"/>
      <c r="E186" s="470"/>
      <c r="F186" s="470"/>
      <c r="G186" s="470"/>
      <c r="H186" s="470"/>
      <c r="I186" s="452"/>
    </row>
    <row r="187" spans="1:9" ht="17" customHeight="1" x14ac:dyDescent="0.2">
      <c r="A187" s="9"/>
      <c r="C187" s="122"/>
      <c r="D187" s="122"/>
      <c r="E187" s="122"/>
      <c r="F187" s="122"/>
      <c r="G187" s="122"/>
      <c r="H187" s="122"/>
      <c r="I187" s="122"/>
    </row>
    <row r="188" spans="1:9" ht="17" customHeight="1" x14ac:dyDescent="0.2">
      <c r="B188" s="20" t="s">
        <v>175</v>
      </c>
      <c r="C188" s="122"/>
      <c r="D188" s="122"/>
      <c r="E188" s="232" t="str">
        <f>G168</f>
        <v>2022-23</v>
      </c>
      <c r="F188" s="232" t="str">
        <f>H168</f>
        <v>2023-24</v>
      </c>
      <c r="G188" s="232" t="str">
        <f>I168</f>
        <v>2024-25</v>
      </c>
      <c r="H188" s="362"/>
      <c r="I188" s="122"/>
    </row>
    <row r="189" spans="1:9" ht="17" customHeight="1" x14ac:dyDescent="0.2">
      <c r="A189" s="9"/>
      <c r="B189" s="11" t="s">
        <v>171</v>
      </c>
      <c r="C189" s="238"/>
      <c r="D189" s="238"/>
      <c r="E189" s="376"/>
      <c r="F189" s="376"/>
      <c r="G189" s="376"/>
      <c r="H189" s="411"/>
      <c r="I189" s="412"/>
    </row>
    <row r="190" spans="1:9" ht="17" customHeight="1" x14ac:dyDescent="0.2">
      <c r="A190" s="9"/>
      <c r="B190" s="11" t="s">
        <v>143</v>
      </c>
      <c r="C190" s="238"/>
      <c r="D190" s="238"/>
      <c r="E190" s="377">
        <f>Data!C73</f>
        <v>578837</v>
      </c>
      <c r="F190" s="377">
        <f>Data!D73</f>
        <v>578837</v>
      </c>
      <c r="G190" s="377">
        <f>Data!E73</f>
        <v>578837</v>
      </c>
      <c r="H190" s="411"/>
      <c r="I190" s="412"/>
    </row>
    <row r="191" spans="1:9" ht="17" customHeight="1" x14ac:dyDescent="0.2">
      <c r="A191" s="9"/>
      <c r="B191" s="11"/>
      <c r="C191" s="400" t="s">
        <v>34</v>
      </c>
      <c r="D191" s="238"/>
      <c r="E191" s="399">
        <f>E190-E189</f>
        <v>578837</v>
      </c>
      <c r="F191" s="399">
        <f>F190-F189</f>
        <v>578837</v>
      </c>
      <c r="G191" s="399">
        <f>G190-G189</f>
        <v>578837</v>
      </c>
      <c r="H191" s="411"/>
      <c r="I191" s="412"/>
    </row>
    <row r="192" spans="1:9" ht="17" customHeight="1" x14ac:dyDescent="0.2">
      <c r="A192" s="9"/>
      <c r="B192" s="20" t="s">
        <v>244</v>
      </c>
      <c r="C192" s="400"/>
      <c r="D192" s="238"/>
      <c r="E192" s="399">
        <f>E191/C50</f>
        <v>266.67019869990469</v>
      </c>
      <c r="F192" s="399">
        <f>F191/C51</f>
        <v>266.67019869990469</v>
      </c>
      <c r="G192" s="399">
        <f>G191/C52</f>
        <v>266.67019869990469</v>
      </c>
      <c r="H192" s="411"/>
      <c r="I192" s="412"/>
    </row>
    <row r="193" spans="1:9" ht="17" customHeight="1" thickBot="1" x14ac:dyDescent="0.25">
      <c r="A193" s="9"/>
      <c r="B193" s="11"/>
      <c r="C193" s="238"/>
      <c r="D193" s="238"/>
      <c r="E193" s="238"/>
      <c r="F193" s="238"/>
      <c r="G193" s="238"/>
      <c r="H193" s="238"/>
      <c r="I193" s="238"/>
    </row>
    <row r="194" spans="1:9" ht="17" customHeight="1" thickBot="1" x14ac:dyDescent="0.25">
      <c r="A194" s="9"/>
      <c r="C194" s="502" t="s">
        <v>60</v>
      </c>
      <c r="D194" s="503"/>
      <c r="E194" s="503"/>
      <c r="F194" s="503"/>
      <c r="G194" s="503"/>
      <c r="H194" s="503"/>
      <c r="I194" s="504"/>
    </row>
    <row r="195" spans="1:9" ht="61.5" customHeight="1" x14ac:dyDescent="0.2">
      <c r="A195" s="9"/>
      <c r="C195" s="491"/>
      <c r="D195" s="492"/>
      <c r="E195" s="492"/>
      <c r="F195" s="492"/>
      <c r="G195" s="492"/>
      <c r="H195" s="492"/>
      <c r="I195" s="493"/>
    </row>
    <row r="196" spans="1:9" ht="17" customHeight="1" x14ac:dyDescent="0.2">
      <c r="A196" s="9"/>
      <c r="C196" s="122"/>
      <c r="D196" s="122"/>
      <c r="E196" s="122"/>
      <c r="F196" s="122"/>
      <c r="G196" s="122"/>
      <c r="H196" s="122"/>
      <c r="I196" s="122"/>
    </row>
    <row r="197" spans="1:9" ht="17" customHeight="1" x14ac:dyDescent="0.2">
      <c r="A197" s="9"/>
      <c r="B197" s="9" t="s">
        <v>176</v>
      </c>
      <c r="C197" s="122"/>
      <c r="D197" s="122"/>
      <c r="E197" s="122"/>
      <c r="F197" s="122"/>
      <c r="G197" s="122"/>
      <c r="H197" s="122"/>
      <c r="I197" s="122"/>
    </row>
    <row r="198" spans="1:9" ht="17" customHeight="1" x14ac:dyDescent="0.2">
      <c r="A198" s="9"/>
      <c r="C198" s="122"/>
      <c r="D198" s="122"/>
      <c r="E198" s="122"/>
      <c r="F198" s="122"/>
      <c r="G198" s="122"/>
      <c r="H198" s="122"/>
      <c r="I198" s="122"/>
    </row>
    <row r="199" spans="1:9" ht="17" customHeight="1" x14ac:dyDescent="0.2">
      <c r="A199" s="9"/>
      <c r="C199" s="455" t="s">
        <v>76</v>
      </c>
      <c r="D199" s="455"/>
      <c r="E199" s="455"/>
      <c r="F199" s="455"/>
      <c r="G199" s="455"/>
      <c r="H199" s="455"/>
      <c r="I199" s="353">
        <f>Data!C86</f>
        <v>0</v>
      </c>
    </row>
    <row r="200" spans="1:9" ht="17" customHeight="1" x14ac:dyDescent="0.2">
      <c r="A200" s="9"/>
      <c r="C200" s="238"/>
      <c r="D200" s="238"/>
      <c r="E200" s="238"/>
      <c r="F200" s="238"/>
      <c r="G200" s="238"/>
      <c r="H200" s="238"/>
      <c r="I200" s="238"/>
    </row>
    <row r="201" spans="1:9" ht="17" customHeight="1" x14ac:dyDescent="0.2">
      <c r="A201" s="9"/>
      <c r="C201" s="25" t="s">
        <v>172</v>
      </c>
      <c r="D201" s="238"/>
      <c r="E201" s="238"/>
      <c r="F201" s="238"/>
      <c r="G201" s="238"/>
      <c r="H201" s="238"/>
      <c r="I201" s="238"/>
    </row>
    <row r="202" spans="1:9" ht="17" customHeight="1" x14ac:dyDescent="0.2">
      <c r="A202" s="9"/>
      <c r="C202" s="542" t="str">
        <f>T(Data!C88)</f>
        <v>Sonoma Charter SELPA</v>
      </c>
      <c r="D202" s="543"/>
      <c r="E202" s="543"/>
      <c r="F202" s="543"/>
      <c r="G202" s="544"/>
      <c r="H202" s="238"/>
      <c r="I202" s="354"/>
    </row>
    <row r="203" spans="1:9" ht="17" customHeight="1" x14ac:dyDescent="0.2">
      <c r="A203" s="9"/>
      <c r="C203" s="238"/>
      <c r="D203" s="238"/>
      <c r="E203" s="238"/>
      <c r="F203" s="238"/>
      <c r="G203" s="238"/>
      <c r="H203" s="238"/>
      <c r="I203" s="354"/>
    </row>
    <row r="204" spans="1:9" ht="17" customHeight="1" x14ac:dyDescent="0.2">
      <c r="A204" s="9"/>
      <c r="C204" s="238"/>
      <c r="D204" s="238"/>
      <c r="E204" s="238"/>
      <c r="F204" s="238"/>
      <c r="G204" s="238"/>
      <c r="H204" s="238"/>
      <c r="I204" s="354"/>
    </row>
    <row r="205" spans="1:9" ht="17" customHeight="1" x14ac:dyDescent="0.2">
      <c r="A205" s="9"/>
      <c r="C205" s="238"/>
      <c r="D205" s="238"/>
      <c r="E205" s="373" t="str">
        <f>F244</f>
        <v>2022-23</v>
      </c>
      <c r="F205" s="373" t="str">
        <f>G244</f>
        <v>2023-24</v>
      </c>
      <c r="G205" s="373" t="str">
        <f>H244</f>
        <v>2024-25</v>
      </c>
      <c r="I205" s="238"/>
    </row>
    <row r="206" spans="1:9" ht="17" customHeight="1" x14ac:dyDescent="0.2">
      <c r="A206" s="9"/>
      <c r="C206" s="238" t="s">
        <v>147</v>
      </c>
      <c r="D206" s="238"/>
      <c r="E206" s="355">
        <f>Data!C89</f>
        <v>1607387</v>
      </c>
      <c r="F206" s="355">
        <f>Data!D89</f>
        <v>1738067.5630999999</v>
      </c>
      <c r="G206" s="355">
        <f>Data!E89</f>
        <v>1799595.1548337401</v>
      </c>
      <c r="I206" s="238"/>
    </row>
    <row r="207" spans="1:9" ht="17" customHeight="1" x14ac:dyDescent="0.2">
      <c r="A207" s="9"/>
      <c r="C207" s="25" t="s">
        <v>149</v>
      </c>
      <c r="D207" s="356"/>
      <c r="E207" s="355">
        <f>Data!C90</f>
        <v>1811937</v>
      </c>
      <c r="F207" s="355">
        <f>Data!D90</f>
        <v>1841427.595</v>
      </c>
      <c r="G207" s="355">
        <f>Data!E90</f>
        <v>1965495.61855</v>
      </c>
      <c r="I207" s="356"/>
    </row>
    <row r="208" spans="1:9" ht="17" customHeight="1" x14ac:dyDescent="0.2">
      <c r="A208" s="9"/>
      <c r="C208" s="25" t="s">
        <v>148</v>
      </c>
      <c r="D208" s="238"/>
      <c r="E208" s="355">
        <f>Data!C91</f>
        <v>461363</v>
      </c>
      <c r="F208" s="355">
        <f>Data!D91</f>
        <v>514419.745</v>
      </c>
      <c r="G208" s="355">
        <f>Data!E91</f>
        <v>565861.71950000001</v>
      </c>
      <c r="I208" s="238"/>
    </row>
    <row r="209" spans="1:9" ht="17" customHeight="1" thickBot="1" x14ac:dyDescent="0.25">
      <c r="A209" s="9"/>
      <c r="C209" s="25" t="s">
        <v>150</v>
      </c>
      <c r="D209" s="238"/>
      <c r="E209" s="357">
        <f>Data!C92</f>
        <v>3880687</v>
      </c>
      <c r="F209" s="357">
        <f>Data!D92</f>
        <v>4093914.9030999998</v>
      </c>
      <c r="G209" s="357">
        <f>Data!E92</f>
        <v>4330952.49288374</v>
      </c>
      <c r="I209" s="238"/>
    </row>
    <row r="210" spans="1:9" ht="17" customHeight="1" thickTop="1" thickBot="1" x14ac:dyDescent="0.25">
      <c r="A210" s="9"/>
      <c r="C210" s="25" t="s">
        <v>151</v>
      </c>
      <c r="D210" s="238"/>
      <c r="E210" s="358">
        <f>Data!C93</f>
        <v>3880687</v>
      </c>
      <c r="F210" s="358">
        <f>Data!D93</f>
        <v>4093914.9030999998</v>
      </c>
      <c r="G210" s="358">
        <f>Data!E93</f>
        <v>4330952.49288374</v>
      </c>
      <c r="I210" s="238"/>
    </row>
    <row r="211" spans="1:9" ht="17" customHeight="1" thickTop="1" thickBot="1" x14ac:dyDescent="0.25">
      <c r="A211" s="9"/>
      <c r="D211" s="122"/>
      <c r="E211" s="122"/>
      <c r="F211" s="122"/>
      <c r="G211" s="122"/>
      <c r="H211" s="122"/>
      <c r="I211" s="122"/>
    </row>
    <row r="212" spans="1:9" ht="17" customHeight="1" thickBot="1" x14ac:dyDescent="0.25">
      <c r="A212" s="9"/>
      <c r="C212" s="502" t="s">
        <v>253</v>
      </c>
      <c r="D212" s="503"/>
      <c r="E212" s="503"/>
      <c r="F212" s="503"/>
      <c r="G212" s="503"/>
      <c r="H212" s="503"/>
      <c r="I212" s="504"/>
    </row>
    <row r="213" spans="1:9" ht="54.75" customHeight="1" x14ac:dyDescent="0.2">
      <c r="A213" s="9"/>
      <c r="C213" s="491" t="s">
        <v>344</v>
      </c>
      <c r="D213" s="492"/>
      <c r="E213" s="492"/>
      <c r="F213" s="492"/>
      <c r="G213" s="492"/>
      <c r="H213" s="492"/>
      <c r="I213" s="493"/>
    </row>
    <row r="214" spans="1:9" ht="17" customHeight="1" x14ac:dyDescent="0.2">
      <c r="A214" s="9"/>
      <c r="C214" s="122"/>
      <c r="D214" s="122"/>
      <c r="E214" s="122"/>
      <c r="F214" s="122"/>
      <c r="G214" s="122"/>
      <c r="H214" s="122"/>
      <c r="I214" s="122"/>
    </row>
    <row r="215" spans="1:9" ht="17" customHeight="1" x14ac:dyDescent="0.2">
      <c r="A215" s="9"/>
      <c r="B215" s="9" t="s">
        <v>177</v>
      </c>
      <c r="C215" s="122"/>
      <c r="D215" s="122"/>
      <c r="E215" s="122"/>
      <c r="F215" s="122"/>
      <c r="G215" s="122"/>
      <c r="H215" s="122"/>
      <c r="I215" s="122"/>
    </row>
    <row r="216" spans="1:9" ht="17" customHeight="1" x14ac:dyDescent="0.2">
      <c r="A216" s="9"/>
      <c r="B216" s="9" t="s">
        <v>174</v>
      </c>
      <c r="E216" s="27"/>
      <c r="F216" s="229"/>
      <c r="G216" s="230"/>
      <c r="H216" s="230"/>
      <c r="I216" s="251"/>
    </row>
    <row r="217" spans="1:9" ht="17" customHeight="1" x14ac:dyDescent="0.2">
      <c r="A217" s="9"/>
      <c r="B217" s="32"/>
      <c r="C217" s="455" t="s">
        <v>77</v>
      </c>
      <c r="D217" s="455"/>
      <c r="E217" s="455"/>
      <c r="F217" s="455"/>
      <c r="G217" s="455"/>
      <c r="H217" s="455"/>
      <c r="I217" s="540" t="s">
        <v>113</v>
      </c>
    </row>
    <row r="218" spans="1:9" ht="17" customHeight="1" x14ac:dyDescent="0.2">
      <c r="A218" s="9"/>
      <c r="B218" s="32"/>
      <c r="C218" s="455"/>
      <c r="D218" s="455"/>
      <c r="E218" s="455"/>
      <c r="F218" s="455"/>
      <c r="G218" s="455"/>
      <c r="H218" s="455"/>
      <c r="I218" s="541"/>
    </row>
    <row r="219" spans="1:9" ht="17" customHeight="1" x14ac:dyDescent="0.2">
      <c r="A219" s="9"/>
      <c r="B219" s="32"/>
      <c r="C219" s="122"/>
      <c r="D219" s="122"/>
      <c r="E219" s="122"/>
      <c r="F219" s="122"/>
      <c r="G219" s="122"/>
      <c r="H219" s="122"/>
      <c r="I219" s="252"/>
    </row>
    <row r="220" spans="1:9" ht="17" customHeight="1" thickBot="1" x14ac:dyDescent="0.25">
      <c r="A220" s="9"/>
      <c r="B220" s="32"/>
      <c r="C220" s="17" t="s">
        <v>214</v>
      </c>
      <c r="D220" s="122"/>
      <c r="E220" s="122"/>
      <c r="F220" s="122"/>
      <c r="G220" s="122"/>
      <c r="H220" s="122"/>
    </row>
    <row r="221" spans="1:9" ht="17" customHeight="1" thickBot="1" x14ac:dyDescent="0.25">
      <c r="A221" s="9"/>
      <c r="B221" s="32"/>
      <c r="C221" s="186" t="s">
        <v>213</v>
      </c>
      <c r="D221" s="372" t="str">
        <f>F168</f>
        <v>2021-22</v>
      </c>
      <c r="E221" s="373" t="str">
        <f>E205</f>
        <v>2022-23</v>
      </c>
      <c r="F221" s="373" t="str">
        <f>F205</f>
        <v>2023-24</v>
      </c>
      <c r="G221" s="374" t="str">
        <f>G205</f>
        <v>2024-25</v>
      </c>
      <c r="H221" s="453" t="s">
        <v>60</v>
      </c>
      <c r="I221" s="454"/>
    </row>
    <row r="222" spans="1:9" ht="17" customHeight="1" x14ac:dyDescent="0.2">
      <c r="A222" s="9"/>
      <c r="B222" s="32"/>
      <c r="C222" s="4" t="s">
        <v>153</v>
      </c>
      <c r="D222" s="378">
        <f>Data!B96</f>
        <v>7493809</v>
      </c>
      <c r="E222" s="378">
        <f>Data!C96</f>
        <v>7674076</v>
      </c>
      <c r="F222" s="378">
        <f>Data!D96</f>
        <v>8756594.7400000002</v>
      </c>
      <c r="G222" s="378">
        <f>Data!E96</f>
        <v>9457122.3192000017</v>
      </c>
      <c r="H222" s="449"/>
      <c r="I222" s="450"/>
    </row>
    <row r="223" spans="1:9" ht="17" customHeight="1" x14ac:dyDescent="0.2">
      <c r="A223" s="9"/>
      <c r="B223" s="32"/>
      <c r="C223" s="4" t="s">
        <v>154</v>
      </c>
      <c r="D223" s="378">
        <f>Data!B97</f>
        <v>330754</v>
      </c>
      <c r="E223" s="378">
        <f>Data!C97</f>
        <v>374086</v>
      </c>
      <c r="F223" s="378">
        <f>Data!D97</f>
        <v>442105.89</v>
      </c>
      <c r="G223" s="378">
        <f>Data!E97</f>
        <v>477474.36120000004</v>
      </c>
      <c r="H223" s="449"/>
      <c r="I223" s="450"/>
    </row>
    <row r="224" spans="1:9" ht="17" customHeight="1" x14ac:dyDescent="0.2">
      <c r="A224" s="9"/>
      <c r="B224" s="32"/>
      <c r="C224" s="4" t="s">
        <v>155</v>
      </c>
      <c r="D224" s="378">
        <f>Data!B98</f>
        <v>3023728</v>
      </c>
      <c r="E224" s="378">
        <f>Data!C98</f>
        <v>3127138</v>
      </c>
      <c r="F224" s="378">
        <f>Data!D98</f>
        <v>3643115.77</v>
      </c>
      <c r="G224" s="378">
        <f>Data!E98</f>
        <v>4025642.9258499998</v>
      </c>
      <c r="H224" s="449"/>
      <c r="I224" s="450"/>
    </row>
    <row r="225" spans="1:9" ht="17" customHeight="1" x14ac:dyDescent="0.2">
      <c r="A225" s="9"/>
      <c r="B225" s="32"/>
      <c r="C225" s="4" t="s">
        <v>156</v>
      </c>
      <c r="D225" s="378">
        <f>Data!B99</f>
        <v>3678913</v>
      </c>
      <c r="E225" s="378">
        <f>Data!C99</f>
        <v>3747528</v>
      </c>
      <c r="F225" s="378">
        <f>Data!D99</f>
        <v>4047330.24</v>
      </c>
      <c r="G225" s="378">
        <f>Data!E99</f>
        <v>3868750.1472000005</v>
      </c>
      <c r="H225" s="449"/>
      <c r="I225" s="450"/>
    </row>
    <row r="226" spans="1:9" ht="17" customHeight="1" x14ac:dyDescent="0.2">
      <c r="A226" s="9"/>
      <c r="B226" s="32"/>
      <c r="C226" s="4" t="s">
        <v>157</v>
      </c>
      <c r="D226" s="378">
        <f>Data!B100</f>
        <v>6556941</v>
      </c>
      <c r="E226" s="378">
        <f>Data!C100</f>
        <v>8275472</v>
      </c>
      <c r="F226" s="378">
        <f>Data!D100</f>
        <v>9820264.4800000004</v>
      </c>
      <c r="G226" s="378">
        <f>Data!E100</f>
        <v>10405885.638400001</v>
      </c>
      <c r="H226" s="449"/>
      <c r="I226" s="450"/>
    </row>
    <row r="227" spans="1:9" ht="17" customHeight="1" x14ac:dyDescent="0.2">
      <c r="A227" s="9"/>
      <c r="B227" s="32"/>
      <c r="C227" s="4" t="s">
        <v>158</v>
      </c>
      <c r="D227" s="378">
        <f>Data!B101</f>
        <v>23575</v>
      </c>
      <c r="E227" s="378">
        <f>Data!C101</f>
        <v>23575</v>
      </c>
      <c r="F227" s="378">
        <f>Data!D101</f>
        <v>23575</v>
      </c>
      <c r="G227" s="378">
        <f>Data!E101</f>
        <v>23575</v>
      </c>
      <c r="H227" s="449"/>
      <c r="I227" s="450"/>
    </row>
    <row r="228" spans="1:9" ht="17" customHeight="1" x14ac:dyDescent="0.2">
      <c r="A228" s="9"/>
      <c r="B228" s="32"/>
      <c r="C228" s="4" t="s">
        <v>159</v>
      </c>
      <c r="D228" s="378">
        <f>Data!B102</f>
        <v>-192365</v>
      </c>
      <c r="E228" s="378">
        <f>Data!C102</f>
        <v>-159485</v>
      </c>
      <c r="F228" s="378">
        <f>Data!D102</f>
        <v>-172243.80000000002</v>
      </c>
      <c r="G228" s="378">
        <f>Data!E102</f>
        <v>-177411.11400000003</v>
      </c>
      <c r="H228" s="449"/>
      <c r="I228" s="450"/>
    </row>
    <row r="229" spans="1:9" ht="17" customHeight="1" x14ac:dyDescent="0.2">
      <c r="A229" s="9"/>
      <c r="B229" s="32"/>
      <c r="C229" s="4" t="s">
        <v>212</v>
      </c>
      <c r="D229" s="378">
        <f>Data!B103</f>
        <v>0</v>
      </c>
      <c r="E229" s="378">
        <f>Data!C103</f>
        <v>0</v>
      </c>
      <c r="F229" s="378">
        <f>Data!D103</f>
        <v>0</v>
      </c>
      <c r="G229" s="378">
        <f>Data!E103</f>
        <v>0</v>
      </c>
      <c r="H229" s="449"/>
      <c r="I229" s="450"/>
    </row>
    <row r="230" spans="1:9" thickBot="1" x14ac:dyDescent="0.25">
      <c r="A230" s="9"/>
      <c r="B230" s="32"/>
      <c r="C230" s="4" t="s">
        <v>160</v>
      </c>
      <c r="D230" s="379">
        <f>Data!B104</f>
        <v>20915355</v>
      </c>
      <c r="E230" s="379">
        <f>Data!C104</f>
        <v>23062390</v>
      </c>
      <c r="F230" s="379">
        <f>Data!D104</f>
        <v>26560742.32</v>
      </c>
      <c r="G230" s="379">
        <f>Data!E104</f>
        <v>28081039.277850002</v>
      </c>
      <c r="H230" s="451"/>
      <c r="I230" s="452"/>
    </row>
    <row r="231" spans="1:9" thickTop="1" x14ac:dyDescent="0.2">
      <c r="A231" s="9"/>
      <c r="B231" s="32"/>
      <c r="C231" s="4"/>
      <c r="D231" s="375"/>
      <c r="E231" s="375"/>
      <c r="F231" s="375"/>
      <c r="G231" s="375"/>
      <c r="H231" s="253"/>
      <c r="I231" s="253"/>
    </row>
    <row r="232" spans="1:9" ht="17" customHeight="1" thickBot="1" x14ac:dyDescent="0.25">
      <c r="A232" s="9"/>
      <c r="B232" s="32"/>
      <c r="C232" s="17" t="s">
        <v>214</v>
      </c>
      <c r="D232" s="238"/>
      <c r="E232" s="238"/>
      <c r="F232" s="238"/>
      <c r="G232" s="238"/>
      <c r="H232" s="122"/>
    </row>
    <row r="233" spans="1:9" ht="17" customHeight="1" thickBot="1" x14ac:dyDescent="0.25">
      <c r="A233" s="9"/>
      <c r="B233" s="32"/>
      <c r="C233" s="186" t="s">
        <v>215</v>
      </c>
      <c r="D233" s="372" t="str">
        <f>D221</f>
        <v>2021-22</v>
      </c>
      <c r="E233" s="373" t="str">
        <f>E205</f>
        <v>2022-23</v>
      </c>
      <c r="F233" s="373" t="str">
        <f>F205</f>
        <v>2023-24</v>
      </c>
      <c r="G233" s="374" t="str">
        <f>G205</f>
        <v>2024-25</v>
      </c>
      <c r="H233" s="453" t="s">
        <v>60</v>
      </c>
      <c r="I233" s="454"/>
    </row>
    <row r="234" spans="1:9" ht="17" customHeight="1" x14ac:dyDescent="0.2">
      <c r="A234" s="9"/>
      <c r="B234" s="32"/>
      <c r="C234" s="4" t="s">
        <v>153</v>
      </c>
      <c r="D234" s="360">
        <f>Data!B96/Data!B$104</f>
        <v>0.35829222119347243</v>
      </c>
      <c r="E234" s="360">
        <f>Data!C96/Data!C$104</f>
        <v>0.33275284998649318</v>
      </c>
      <c r="F234" s="360">
        <f>Data!D96/Data!D$104</f>
        <v>0.3296818528074934</v>
      </c>
      <c r="G234" s="360">
        <f>Data!E96/Data!E$104</f>
        <v>0.33677964072575012</v>
      </c>
      <c r="H234" s="449"/>
      <c r="I234" s="450"/>
    </row>
    <row r="235" spans="1:9" ht="17" customHeight="1" x14ac:dyDescent="0.2">
      <c r="A235" s="9"/>
      <c r="B235" s="32"/>
      <c r="C235" s="4" t="s">
        <v>154</v>
      </c>
      <c r="D235" s="360">
        <f>Data!B97/Data!B$104</f>
        <v>1.5813931917483589E-2</v>
      </c>
      <c r="E235" s="360">
        <f>Data!C97/Data!C$104</f>
        <v>1.6220608531899772E-2</v>
      </c>
      <c r="F235" s="360">
        <f>Data!D97/Data!D$104</f>
        <v>1.6645087877197554E-2</v>
      </c>
      <c r="G235" s="360">
        <f>Data!E97/Data!E$104</f>
        <v>1.7003443372433379E-2</v>
      </c>
      <c r="H235" s="449"/>
      <c r="I235" s="450"/>
    </row>
    <row r="236" spans="1:9" ht="17" customHeight="1" x14ac:dyDescent="0.2">
      <c r="A236" s="9"/>
      <c r="B236" s="32"/>
      <c r="C236" s="4" t="s">
        <v>155</v>
      </c>
      <c r="D236" s="360">
        <f>Data!B98/Data!B$104</f>
        <v>0.1445697670443557</v>
      </c>
      <c r="E236" s="360">
        <f>Data!C98/Data!C$104</f>
        <v>0.13559470635957505</v>
      </c>
      <c r="F236" s="360">
        <f>Data!D98/Data!D$104</f>
        <v>0.13716166988513595</v>
      </c>
      <c r="G236" s="360">
        <f>Data!E98/Data!E$104</f>
        <v>0.14335804618974271</v>
      </c>
      <c r="H236" s="449"/>
      <c r="I236" s="450"/>
    </row>
    <row r="237" spans="1:9" ht="17" customHeight="1" x14ac:dyDescent="0.2">
      <c r="A237" s="9"/>
      <c r="B237" s="32"/>
      <c r="C237" s="4" t="s">
        <v>156</v>
      </c>
      <c r="D237" s="360">
        <f>Data!B99/Data!B$104</f>
        <v>0.17589531710076162</v>
      </c>
      <c r="E237" s="360">
        <f>Data!C99/Data!C$104</f>
        <v>0.16249521406931372</v>
      </c>
      <c r="F237" s="360">
        <f>Data!D99/Data!D$104</f>
        <v>0.15238016284478603</v>
      </c>
      <c r="G237" s="360">
        <f>Data!E99/Data!E$104</f>
        <v>0.13777090331024983</v>
      </c>
      <c r="H237" s="449"/>
      <c r="I237" s="450"/>
    </row>
    <row r="238" spans="1:9" ht="17" customHeight="1" x14ac:dyDescent="0.2">
      <c r="A238" s="9"/>
      <c r="B238" s="32"/>
      <c r="C238" s="4" t="s">
        <v>157</v>
      </c>
      <c r="D238" s="360">
        <f>Data!B100/Data!B$104</f>
        <v>0.31349891025038779</v>
      </c>
      <c r="E238" s="360">
        <f>Data!C100/Data!C$104</f>
        <v>0.35882976569210734</v>
      </c>
      <c r="F238" s="360">
        <f>Data!D100/Data!D$104</f>
        <v>0.36972854002673822</v>
      </c>
      <c r="G238" s="360">
        <f>Data!E100/Data!E$104</f>
        <v>0.37056625773135266</v>
      </c>
      <c r="H238" s="449"/>
      <c r="I238" s="450"/>
    </row>
    <row r="239" spans="1:9" ht="17" customHeight="1" x14ac:dyDescent="0.2">
      <c r="A239" s="9"/>
      <c r="B239" s="32"/>
      <c r="C239" s="4" t="s">
        <v>158</v>
      </c>
      <c r="D239" s="360">
        <f>Data!B101/Data!B$104</f>
        <v>1.1271623168719823E-3</v>
      </c>
      <c r="E239" s="360">
        <f>Data!C101/Data!C$104</f>
        <v>1.0222270978853449E-3</v>
      </c>
      <c r="F239" s="360">
        <f>Data!D101/Data!D$104</f>
        <v>8.8758814478796539E-4</v>
      </c>
      <c r="G239" s="360">
        <f>Data!E101/Data!E$104</f>
        <v>8.3953445478763622E-4</v>
      </c>
      <c r="H239" s="449"/>
      <c r="I239" s="450"/>
    </row>
    <row r="240" spans="1:9" ht="17" customHeight="1" x14ac:dyDescent="0.2">
      <c r="A240" s="9"/>
      <c r="B240" s="32"/>
      <c r="C240" s="4" t="s">
        <v>159</v>
      </c>
      <c r="D240" s="360">
        <f>Data!B102/Data!B$104</f>
        <v>-9.1973098233331437E-3</v>
      </c>
      <c r="E240" s="360">
        <f>Data!C102/Data!C$104</f>
        <v>-6.9153717372744108E-3</v>
      </c>
      <c r="F240" s="360">
        <f>Data!D102/Data!D$104</f>
        <v>-6.4849015861391038E-3</v>
      </c>
      <c r="G240" s="360">
        <f>Data!E102/Data!E$104</f>
        <v>-6.3178257843163185E-3</v>
      </c>
      <c r="H240" s="449"/>
      <c r="I240" s="450"/>
    </row>
    <row r="241" spans="1:9" ht="17" customHeight="1" x14ac:dyDescent="0.2">
      <c r="A241" s="9"/>
      <c r="B241" s="32"/>
      <c r="C241" s="4" t="s">
        <v>212</v>
      </c>
      <c r="D241" s="360">
        <f>Data!B103/Data!B$104</f>
        <v>0</v>
      </c>
      <c r="E241" s="360">
        <f>Data!C103/Data!C$104</f>
        <v>0</v>
      </c>
      <c r="F241" s="360">
        <f>Data!D103/Data!D$104</f>
        <v>0</v>
      </c>
      <c r="G241" s="360">
        <f>Data!E103/Data!E$104</f>
        <v>0</v>
      </c>
      <c r="H241" s="449"/>
      <c r="I241" s="450"/>
    </row>
    <row r="242" spans="1:9" thickBot="1" x14ac:dyDescent="0.25">
      <c r="A242" s="9"/>
      <c r="B242" s="32"/>
      <c r="C242" s="4" t="s">
        <v>160</v>
      </c>
      <c r="D242" s="361">
        <f>SUM(D234:D241)</f>
        <v>1</v>
      </c>
      <c r="E242" s="361">
        <f t="shared" ref="E242:G242" si="14">SUM(E234:E241)</f>
        <v>0.99999999999999989</v>
      </c>
      <c r="F242" s="361">
        <f t="shared" si="14"/>
        <v>1.0000000000000002</v>
      </c>
      <c r="G242" s="361">
        <f t="shared" si="14"/>
        <v>0.99999999999999989</v>
      </c>
      <c r="H242" s="451"/>
      <c r="I242" s="452"/>
    </row>
    <row r="243" spans="1:9" ht="17" customHeight="1" thickTop="1" x14ac:dyDescent="0.2">
      <c r="A243" s="9"/>
      <c r="B243" s="32"/>
      <c r="E243" s="27"/>
      <c r="F243" s="229"/>
      <c r="G243" s="230"/>
      <c r="H243" s="230"/>
    </row>
    <row r="244" spans="1:9" ht="17" customHeight="1" x14ac:dyDescent="0.2">
      <c r="A244" s="9"/>
      <c r="B244" s="9" t="s">
        <v>75</v>
      </c>
      <c r="C244" s="122"/>
      <c r="E244" s="254" t="s">
        <v>70</v>
      </c>
      <c r="F244" s="255" t="str">
        <f>E146</f>
        <v>2022-23</v>
      </c>
      <c r="G244" s="255" t="str">
        <f>H168</f>
        <v>2023-24</v>
      </c>
      <c r="H244" s="255" t="str">
        <f>I168</f>
        <v>2024-25</v>
      </c>
      <c r="I244" s="230"/>
    </row>
    <row r="245" spans="1:9" ht="17" customHeight="1" x14ac:dyDescent="0.2">
      <c r="A245" s="9"/>
      <c r="C245" s="122"/>
      <c r="E245" s="227" t="s">
        <v>138</v>
      </c>
      <c r="F245" s="256">
        <f>E151</f>
        <v>17906210.744502001</v>
      </c>
      <c r="G245" s="256">
        <f>G151</f>
        <v>17704190.679502003</v>
      </c>
      <c r="H245" s="256">
        <f>I151</f>
        <v>16831155.426653996</v>
      </c>
      <c r="I245" s="257"/>
    </row>
    <row r="246" spans="1:9" ht="17" customHeight="1" x14ac:dyDescent="0.2">
      <c r="A246" s="9"/>
      <c r="C246" s="122"/>
      <c r="E246" s="227" t="s">
        <v>71</v>
      </c>
      <c r="F246" s="258">
        <f>E156</f>
        <v>0.40379999999999999</v>
      </c>
      <c r="G246" s="258">
        <f>G156</f>
        <v>0.35875965344077027</v>
      </c>
      <c r="H246" s="258">
        <f>I156</f>
        <v>0.31626990812978933</v>
      </c>
      <c r="I246" s="258"/>
    </row>
    <row r="247" spans="1:9" ht="17" customHeight="1" x14ac:dyDescent="0.2">
      <c r="A247" s="9"/>
      <c r="E247" s="27"/>
      <c r="F247" s="229"/>
      <c r="G247" s="230"/>
      <c r="H247" s="230"/>
    </row>
    <row r="248" spans="1:9" s="11" customFormat="1" ht="17" customHeight="1" x14ac:dyDescent="0.15">
      <c r="A248" s="20"/>
      <c r="C248" s="481" t="s">
        <v>72</v>
      </c>
      <c r="D248" s="481"/>
      <c r="E248" s="481"/>
      <c r="F248" s="481"/>
      <c r="G248" s="359" t="s">
        <v>113</v>
      </c>
      <c r="H248" s="230"/>
    </row>
    <row r="249" spans="1:9" s="11" customFormat="1" ht="17" customHeight="1" x14ac:dyDescent="0.15">
      <c r="A249" s="20"/>
      <c r="C249" s="481" t="s">
        <v>73</v>
      </c>
      <c r="D249" s="481"/>
      <c r="E249" s="481"/>
      <c r="F249" s="481"/>
      <c r="G249" s="359" t="s">
        <v>113</v>
      </c>
      <c r="H249" s="230"/>
    </row>
    <row r="250" spans="1:9" s="11" customFormat="1" ht="17" customHeight="1" x14ac:dyDescent="0.15">
      <c r="A250" s="20"/>
      <c r="C250" s="481" t="s">
        <v>74</v>
      </c>
      <c r="D250" s="481"/>
      <c r="E250" s="481"/>
      <c r="F250" s="481"/>
      <c r="G250" s="359" t="s">
        <v>113</v>
      </c>
      <c r="H250" s="230"/>
    </row>
    <row r="251" spans="1:9" ht="17" customHeight="1" x14ac:dyDescent="0.2">
      <c r="A251" s="9"/>
      <c r="E251" s="27"/>
      <c r="F251" s="229"/>
      <c r="G251" s="230"/>
      <c r="H251" s="230"/>
    </row>
    <row r="252" spans="1:9" ht="17" customHeight="1" x14ac:dyDescent="0.2">
      <c r="A252" s="9"/>
      <c r="D252" s="539" t="str">
        <f>G168</f>
        <v>2022-23</v>
      </c>
      <c r="E252" s="539"/>
      <c r="F252" s="539" t="str">
        <f>G146</f>
        <v>2023-24</v>
      </c>
      <c r="G252" s="539"/>
      <c r="H252" s="538" t="str">
        <f>I168</f>
        <v>2024-25</v>
      </c>
      <c r="I252" s="538"/>
    </row>
    <row r="253" spans="1:9" ht="17" customHeight="1" x14ac:dyDescent="0.2">
      <c r="A253" s="9"/>
      <c r="D253" s="259" t="s">
        <v>62</v>
      </c>
      <c r="E253" s="259" t="s">
        <v>63</v>
      </c>
      <c r="F253" s="259" t="s">
        <v>62</v>
      </c>
      <c r="G253" s="259" t="s">
        <v>63</v>
      </c>
      <c r="H253" s="259" t="s">
        <v>62</v>
      </c>
      <c r="I253" s="259" t="s">
        <v>63</v>
      </c>
    </row>
    <row r="254" spans="1:9" ht="17" customHeight="1" x14ac:dyDescent="0.2">
      <c r="A254" s="9"/>
      <c r="C254" s="35" t="s">
        <v>75</v>
      </c>
      <c r="D254" s="380"/>
      <c r="E254" s="380"/>
      <c r="F254" s="380"/>
      <c r="G254" s="380"/>
      <c r="H254" s="381"/>
      <c r="I254" s="381"/>
    </row>
    <row r="255" spans="1:9" ht="17" customHeight="1" x14ac:dyDescent="0.2">
      <c r="A255" s="9"/>
      <c r="C255" s="35"/>
      <c r="D255" s="260"/>
      <c r="E255" s="260"/>
      <c r="F255" s="260"/>
      <c r="G255" s="260"/>
      <c r="H255" s="261"/>
      <c r="I255" s="261"/>
    </row>
    <row r="256" spans="1:9" ht="17" customHeight="1" x14ac:dyDescent="0.2">
      <c r="A256" s="9"/>
      <c r="D256" s="482" t="s">
        <v>66</v>
      </c>
      <c r="E256" s="482"/>
      <c r="F256" s="482" t="s">
        <v>66</v>
      </c>
      <c r="G256" s="482"/>
      <c r="H256" s="482" t="s">
        <v>66</v>
      </c>
      <c r="I256" s="482"/>
    </row>
    <row r="257" spans="1:10" ht="17" customHeight="1" x14ac:dyDescent="0.2">
      <c r="A257" s="9"/>
      <c r="C257" s="35" t="s">
        <v>75</v>
      </c>
      <c r="D257" s="486">
        <f>D254+E254</f>
        <v>0</v>
      </c>
      <c r="E257" s="486"/>
      <c r="F257" s="486">
        <f>F254+G254</f>
        <v>0</v>
      </c>
      <c r="G257" s="486"/>
      <c r="H257" s="486">
        <f>H254+I254</f>
        <v>0</v>
      </c>
      <c r="I257" s="486"/>
    </row>
    <row r="258" spans="1:10" ht="17" customHeight="1" thickBot="1" x14ac:dyDescent="0.25">
      <c r="A258" s="9"/>
      <c r="C258" s="35"/>
      <c r="D258" s="260"/>
      <c r="E258" s="260"/>
      <c r="F258" s="260"/>
      <c r="G258" s="260"/>
      <c r="H258" s="261"/>
      <c r="I258" s="261"/>
    </row>
    <row r="259" spans="1:10" ht="17" customHeight="1" thickBot="1" x14ac:dyDescent="0.25">
      <c r="A259" s="9"/>
      <c r="C259" s="502" t="s">
        <v>254</v>
      </c>
      <c r="D259" s="503"/>
      <c r="E259" s="503"/>
      <c r="F259" s="503"/>
      <c r="G259" s="503"/>
      <c r="H259" s="503"/>
      <c r="I259" s="504"/>
    </row>
    <row r="260" spans="1:10" ht="52.5" customHeight="1" x14ac:dyDescent="0.2">
      <c r="A260" s="9"/>
      <c r="C260" s="483" t="s">
        <v>345</v>
      </c>
      <c r="D260" s="484"/>
      <c r="E260" s="484"/>
      <c r="F260" s="484"/>
      <c r="G260" s="484"/>
      <c r="H260" s="484"/>
      <c r="I260" s="485"/>
    </row>
    <row r="261" spans="1:10" ht="17" customHeight="1" x14ac:dyDescent="0.2">
      <c r="A261" s="9"/>
      <c r="C261" s="253"/>
      <c r="D261" s="253"/>
      <c r="E261" s="253"/>
      <c r="F261" s="253"/>
      <c r="G261" s="253"/>
      <c r="H261" s="253"/>
      <c r="I261" s="253"/>
    </row>
    <row r="262" spans="1:10" ht="17" customHeight="1" x14ac:dyDescent="0.2">
      <c r="A262" s="9"/>
      <c r="B262" s="9" t="s">
        <v>152</v>
      </c>
      <c r="C262" s="253"/>
      <c r="D262" s="253"/>
      <c r="E262" s="253"/>
      <c r="F262" s="253"/>
      <c r="G262" s="253"/>
      <c r="H262" s="253"/>
      <c r="I262" s="253"/>
    </row>
    <row r="263" spans="1:10" ht="17" customHeight="1" x14ac:dyDescent="0.2">
      <c r="A263" s="9"/>
      <c r="B263" s="9" t="s">
        <v>166</v>
      </c>
      <c r="C263" s="11"/>
      <c r="D263" s="11"/>
      <c r="E263" s="23"/>
      <c r="F263" s="309"/>
      <c r="G263" s="309"/>
      <c r="H263" s="310"/>
      <c r="I263" s="11"/>
    </row>
    <row r="264" spans="1:10" s="53" customFormat="1" ht="6.75" customHeight="1" x14ac:dyDescent="0.15">
      <c r="A264" s="59"/>
      <c r="C264" s="571" t="s">
        <v>83</v>
      </c>
      <c r="D264" s="571"/>
      <c r="E264" s="571"/>
      <c r="F264" s="571"/>
      <c r="G264" s="571"/>
      <c r="H264" s="571"/>
      <c r="I264" s="571"/>
      <c r="J264" s="571"/>
    </row>
    <row r="265" spans="1:10" s="53" customFormat="1" ht="19.5" customHeight="1" thickBot="1" x14ac:dyDescent="0.2">
      <c r="A265" s="59"/>
      <c r="C265" s="571"/>
      <c r="D265" s="571"/>
      <c r="E265" s="571"/>
      <c r="F265" s="571"/>
      <c r="G265" s="571"/>
      <c r="H265" s="571"/>
      <c r="I265" s="571"/>
      <c r="J265" s="571"/>
    </row>
    <row r="266" spans="1:10" ht="17" customHeight="1" thickBot="1" x14ac:dyDescent="0.25">
      <c r="A266" s="18"/>
      <c r="D266" s="572" t="str">
        <f>E331</f>
        <v>2022-23</v>
      </c>
      <c r="E266" s="480"/>
      <c r="F266" s="572" t="str">
        <f>F331</f>
        <v>2023-24</v>
      </c>
      <c r="G266" s="480"/>
      <c r="H266" s="572" t="str">
        <f>G331</f>
        <v>2024-25</v>
      </c>
      <c r="I266" s="480"/>
      <c r="J266" s="5"/>
    </row>
    <row r="267" spans="1:10" ht="39" x14ac:dyDescent="0.2">
      <c r="A267" s="14"/>
      <c r="B267" s="26"/>
      <c r="C267" s="42" t="s">
        <v>84</v>
      </c>
      <c r="D267" s="36" t="s">
        <v>230</v>
      </c>
      <c r="E267" s="37" t="s">
        <v>85</v>
      </c>
      <c r="F267" s="36" t="s">
        <v>230</v>
      </c>
      <c r="G267" s="37" t="s">
        <v>85</v>
      </c>
      <c r="H267" s="36" t="s">
        <v>230</v>
      </c>
      <c r="I267" s="37" t="s">
        <v>85</v>
      </c>
      <c r="J267" s="5"/>
    </row>
    <row r="268" spans="1:10" s="5" customFormat="1" ht="17" customHeight="1" x14ac:dyDescent="0.15">
      <c r="B268" s="11" t="s">
        <v>86</v>
      </c>
      <c r="C268" s="43"/>
      <c r="D268" s="38"/>
      <c r="E268" s="39"/>
      <c r="F268" s="38"/>
      <c r="G268" s="39"/>
      <c r="H268" s="38"/>
      <c r="I268" s="39"/>
      <c r="J268" s="4"/>
    </row>
    <row r="269" spans="1:10" s="5" customFormat="1" ht="7.5" customHeight="1" x14ac:dyDescent="0.15">
      <c r="B269" s="11"/>
      <c r="C269" s="336"/>
      <c r="D269" s="264"/>
      <c r="E269" s="265"/>
      <c r="F269" s="264"/>
      <c r="G269" s="265"/>
      <c r="H269" s="264"/>
      <c r="I269" s="265"/>
      <c r="J269" s="4"/>
    </row>
    <row r="270" spans="1:10" s="5" customFormat="1" ht="17" customHeight="1" x14ac:dyDescent="0.15">
      <c r="B270" s="337" t="s">
        <v>87</v>
      </c>
      <c r="C270" s="44"/>
      <c r="D270" s="38"/>
      <c r="E270" s="39"/>
      <c r="F270" s="38"/>
      <c r="G270" s="39"/>
      <c r="H270" s="38"/>
      <c r="I270" s="39"/>
      <c r="J270" s="4"/>
    </row>
    <row r="271" spans="1:10" s="5" customFormat="1" ht="7.5" customHeight="1" x14ac:dyDescent="0.15">
      <c r="B271" s="11"/>
      <c r="C271" s="336"/>
      <c r="D271" s="264"/>
      <c r="E271" s="265"/>
      <c r="F271" s="264"/>
      <c r="G271" s="265"/>
      <c r="H271" s="264"/>
      <c r="I271" s="265"/>
      <c r="J271" s="4"/>
    </row>
    <row r="272" spans="1:10" s="5" customFormat="1" ht="17" customHeight="1" thickBot="1" x14ac:dyDescent="0.2">
      <c r="B272" s="337" t="s">
        <v>88</v>
      </c>
      <c r="C272" s="45"/>
      <c r="D272" s="40"/>
      <c r="E272" s="41"/>
      <c r="F272" s="40"/>
      <c r="G272" s="41"/>
      <c r="H272" s="40"/>
      <c r="I272" s="41"/>
      <c r="J272" s="4"/>
    </row>
    <row r="273" spans="1:10" s="5" customFormat="1" ht="17" customHeight="1" x14ac:dyDescent="0.15">
      <c r="B273" s="337"/>
      <c r="C273" s="338"/>
      <c r="D273" s="266"/>
      <c r="E273" s="267"/>
      <c r="F273" s="266"/>
      <c r="G273" s="267"/>
      <c r="H273" s="266"/>
      <c r="I273" s="267"/>
      <c r="J273" s="4"/>
    </row>
    <row r="274" spans="1:10" ht="17" customHeight="1" x14ac:dyDescent="0.2">
      <c r="A274" s="9"/>
      <c r="B274" s="9" t="s">
        <v>162</v>
      </c>
      <c r="C274" s="9" t="s">
        <v>178</v>
      </c>
      <c r="E274" s="27"/>
      <c r="F274" s="229"/>
      <c r="G274" s="230"/>
      <c r="H274" s="230"/>
    </row>
    <row r="275" spans="1:10" ht="9" customHeight="1" x14ac:dyDescent="0.2">
      <c r="A275" s="9"/>
      <c r="B275" s="9"/>
      <c r="C275" s="9"/>
      <c r="E275" s="27"/>
      <c r="F275" s="229"/>
      <c r="G275" s="230"/>
      <c r="H275" s="230"/>
    </row>
    <row r="276" spans="1:10" ht="17" customHeight="1" x14ac:dyDescent="0.2">
      <c r="A276" s="9"/>
      <c r="B276" s="9"/>
      <c r="C276" s="339"/>
      <c r="D276" s="545" t="s">
        <v>181</v>
      </c>
      <c r="E276" s="546"/>
      <c r="F276" s="547" t="s">
        <v>183</v>
      </c>
      <c r="G276" s="548"/>
      <c r="H276" s="549" t="s">
        <v>184</v>
      </c>
      <c r="I276" s="550"/>
    </row>
    <row r="277" spans="1:10" ht="17" customHeight="1" x14ac:dyDescent="0.2">
      <c r="A277" s="9"/>
      <c r="B277" s="32"/>
      <c r="C277" s="339" t="s">
        <v>86</v>
      </c>
      <c r="D277" s="340" t="s">
        <v>186</v>
      </c>
      <c r="E277" s="341" t="s">
        <v>182</v>
      </c>
      <c r="F277" s="340" t="s">
        <v>186</v>
      </c>
      <c r="G277" s="341" t="s">
        <v>182</v>
      </c>
      <c r="H277" s="340" t="s">
        <v>186</v>
      </c>
      <c r="I277" s="341" t="s">
        <v>182</v>
      </c>
    </row>
    <row r="278" spans="1:10" ht="17" customHeight="1" x14ac:dyDescent="0.2">
      <c r="A278" s="9"/>
      <c r="B278" s="32"/>
      <c r="C278" s="27" t="str">
        <f>B137</f>
        <v>2022-23</v>
      </c>
      <c r="D278" s="342">
        <f>Data!C13</f>
        <v>103.14285714285714</v>
      </c>
      <c r="E278" s="343">
        <f>Data!C20</f>
        <v>70038</v>
      </c>
      <c r="F278" s="342">
        <f>Data!C14</f>
        <v>16</v>
      </c>
      <c r="G278" s="343">
        <f>Data!C21</f>
        <v>0</v>
      </c>
      <c r="H278" s="342">
        <f>Data!C15</f>
        <v>2.5</v>
      </c>
      <c r="I278" s="344">
        <f>Data!C22</f>
        <v>106766</v>
      </c>
    </row>
    <row r="279" spans="1:10" ht="17" customHeight="1" x14ac:dyDescent="0.2">
      <c r="A279" s="9"/>
      <c r="B279" s="32"/>
      <c r="C279" s="27" t="str">
        <f>B138</f>
        <v>2023-24</v>
      </c>
      <c r="D279" s="342">
        <f>Data!D13</f>
        <v>107.14285714285714</v>
      </c>
      <c r="E279" s="343">
        <f>Data!D20</f>
        <v>78092.37</v>
      </c>
      <c r="F279" s="342">
        <f>Data!D14</f>
        <v>16</v>
      </c>
      <c r="G279" s="343">
        <f>Data!D21</f>
        <v>0</v>
      </c>
      <c r="H279" s="342">
        <f>Data!D15</f>
        <v>2.5</v>
      </c>
      <c r="I279" s="344">
        <f>Data!D22</f>
        <v>119044.09</v>
      </c>
    </row>
    <row r="280" spans="1:10" ht="17" customHeight="1" x14ac:dyDescent="0.2">
      <c r="A280" s="9"/>
      <c r="B280" s="32"/>
      <c r="C280" s="27" t="str">
        <f>B139</f>
        <v>2024-25</v>
      </c>
      <c r="D280" s="342">
        <f>Data!E13</f>
        <v>107.14285714285714</v>
      </c>
      <c r="E280" s="343">
        <f>Data!E20</f>
        <v>84339.759600000005</v>
      </c>
      <c r="F280" s="342">
        <f>Data!E14</f>
        <v>16</v>
      </c>
      <c r="G280" s="343">
        <f>Data!E21</f>
        <v>0</v>
      </c>
      <c r="H280" s="342">
        <f>Data!E15</f>
        <v>2.5</v>
      </c>
      <c r="I280" s="344">
        <f>Data!E22</f>
        <v>128567.61720000001</v>
      </c>
    </row>
    <row r="281" spans="1:10" ht="16" x14ac:dyDescent="0.2">
      <c r="A281" s="9"/>
      <c r="B281" s="32"/>
      <c r="C281" s="23"/>
      <c r="D281" s="11"/>
      <c r="E281" s="23"/>
      <c r="F281" s="308"/>
      <c r="G281" s="345"/>
      <c r="H281" s="345"/>
      <c r="I281" s="11"/>
    </row>
    <row r="282" spans="1:10" ht="17" customHeight="1" x14ac:dyDescent="0.2">
      <c r="A282" s="9"/>
      <c r="B282" s="9"/>
      <c r="C282" s="300"/>
      <c r="D282" s="456" t="s">
        <v>233</v>
      </c>
      <c r="E282" s="457"/>
      <c r="F282" s="440"/>
      <c r="G282" s="440"/>
      <c r="H282" s="458"/>
      <c r="I282" s="458"/>
    </row>
    <row r="283" spans="1:10" ht="17" customHeight="1" x14ac:dyDescent="0.2">
      <c r="A283" s="9"/>
      <c r="B283" s="32"/>
      <c r="C283" s="27" t="str">
        <f>C278</f>
        <v>2022-23</v>
      </c>
      <c r="D283" s="346"/>
      <c r="E283" s="343">
        <f>Data!C23</f>
        <v>0</v>
      </c>
      <c r="F283" s="346"/>
      <c r="G283" s="347"/>
      <c r="H283" s="346"/>
      <c r="I283" s="348"/>
    </row>
    <row r="284" spans="1:10" ht="17" customHeight="1" x14ac:dyDescent="0.2">
      <c r="A284" s="9"/>
      <c r="B284" s="32"/>
      <c r="C284" s="27" t="str">
        <f t="shared" ref="C284:C285" si="15">C279</f>
        <v>2023-24</v>
      </c>
      <c r="D284" s="346"/>
      <c r="E284" s="343">
        <f>Data!D23</f>
        <v>0</v>
      </c>
      <c r="F284" s="346"/>
      <c r="G284" s="347"/>
      <c r="H284" s="346"/>
      <c r="I284" s="348"/>
    </row>
    <row r="285" spans="1:10" ht="17" customHeight="1" x14ac:dyDescent="0.2">
      <c r="A285" s="9"/>
      <c r="B285" s="32"/>
      <c r="C285" s="27" t="str">
        <f t="shared" si="15"/>
        <v>2024-25</v>
      </c>
      <c r="D285" s="346"/>
      <c r="E285" s="343">
        <f>Data!E23</f>
        <v>0</v>
      </c>
      <c r="F285" s="346"/>
      <c r="G285" s="347"/>
      <c r="H285" s="346"/>
      <c r="I285" s="348"/>
    </row>
    <row r="286" spans="1:10" ht="16" x14ac:dyDescent="0.2">
      <c r="A286" s="9"/>
      <c r="B286" s="32"/>
      <c r="C286" s="23"/>
      <c r="D286" s="11"/>
      <c r="E286" s="23"/>
      <c r="F286" s="308"/>
      <c r="G286" s="345"/>
      <c r="H286" s="345"/>
      <c r="I286" s="11"/>
    </row>
    <row r="287" spans="1:10" ht="37.5" customHeight="1" x14ac:dyDescent="0.2">
      <c r="A287" s="9"/>
      <c r="B287" s="32"/>
      <c r="C287" s="23"/>
      <c r="D287" s="349" t="s">
        <v>234</v>
      </c>
      <c r="E287" s="350" t="s">
        <v>188</v>
      </c>
      <c r="F287" s="350" t="s">
        <v>252</v>
      </c>
      <c r="G287" s="351" t="s">
        <v>161</v>
      </c>
      <c r="H287" s="23"/>
      <c r="I287" s="229"/>
    </row>
    <row r="288" spans="1:10" ht="17" customHeight="1" x14ac:dyDescent="0.2">
      <c r="A288" s="9"/>
      <c r="B288" s="32"/>
      <c r="C288" s="27" t="str">
        <f>C278</f>
        <v>2022-23</v>
      </c>
      <c r="D288" s="297">
        <f>(D278*E278)+(F278*G278)+(H278*I278)+E283</f>
        <v>7490834.4285714282</v>
      </c>
      <c r="E288" s="269">
        <f>Data!C96+Data!C107</f>
        <v>9211466</v>
      </c>
      <c r="F288" s="269">
        <f>E288-D288</f>
        <v>1720631.5714285718</v>
      </c>
      <c r="G288" s="319" t="str">
        <f>IF(E288-D288&lt;0,"Understated","No")</f>
        <v>No</v>
      </c>
      <c r="H288" s="310"/>
      <c r="I288" s="310"/>
    </row>
    <row r="289" spans="1:9" ht="17" customHeight="1" x14ac:dyDescent="0.2">
      <c r="A289" s="9"/>
      <c r="B289" s="32"/>
      <c r="C289" s="27" t="str">
        <f>C279</f>
        <v>2023-24</v>
      </c>
      <c r="D289" s="297">
        <f>(D279*E279)+(F279*G279)+(H279*I279)+E284</f>
        <v>8664649.8678571414</v>
      </c>
      <c r="E289" s="269">
        <f>Data!D96+Data!D107</f>
        <v>10470784.59</v>
      </c>
      <c r="F289" s="269">
        <f t="shared" ref="F289:F290" si="16">E289-D289</f>
        <v>1806134.7221428584</v>
      </c>
      <c r="G289" s="319" t="str">
        <f t="shared" ref="G289:G290" si="17">IF(E289-D289&lt;0,"Understated","No")</f>
        <v>No</v>
      </c>
      <c r="H289" s="310"/>
      <c r="I289" s="310"/>
    </row>
    <row r="290" spans="1:9" ht="17" customHeight="1" x14ac:dyDescent="0.2">
      <c r="A290" s="9"/>
      <c r="B290" s="32"/>
      <c r="C290" s="27" t="str">
        <f>C280</f>
        <v>2024-25</v>
      </c>
      <c r="D290" s="297">
        <f>(D280*E280)+(F280*G280)+(H280*I280)+E285</f>
        <v>9357821.8572857138</v>
      </c>
      <c r="E290" s="269">
        <f>Data!E96+Data!E107</f>
        <v>11308447.357200002</v>
      </c>
      <c r="F290" s="269">
        <f t="shared" si="16"/>
        <v>1950625.4999142885</v>
      </c>
      <c r="G290" s="319" t="str">
        <f t="shared" si="17"/>
        <v>No</v>
      </c>
      <c r="H290" s="310"/>
      <c r="I290" s="310"/>
    </row>
    <row r="291" spans="1:9" ht="17" customHeight="1" x14ac:dyDescent="0.2">
      <c r="A291" s="9"/>
      <c r="B291" s="32"/>
      <c r="C291" s="20"/>
      <c r="D291" s="225"/>
      <c r="E291" s="220"/>
      <c r="F291" s="310"/>
      <c r="G291" s="310"/>
      <c r="H291" s="310"/>
      <c r="I291" s="310"/>
    </row>
    <row r="292" spans="1:9" ht="16" x14ac:dyDescent="0.2">
      <c r="A292" s="9"/>
      <c r="B292" s="9"/>
      <c r="C292" s="9"/>
      <c r="E292" s="27"/>
      <c r="F292" s="229"/>
      <c r="G292" s="230"/>
      <c r="H292" s="230"/>
    </row>
    <row r="293" spans="1:9" ht="17" customHeight="1" x14ac:dyDescent="0.2">
      <c r="A293" s="9"/>
      <c r="B293" s="9"/>
      <c r="C293" s="339"/>
      <c r="D293" s="545" t="s">
        <v>185</v>
      </c>
      <c r="E293" s="546"/>
      <c r="F293" s="547" t="s">
        <v>187</v>
      </c>
      <c r="G293" s="548"/>
      <c r="H293" s="352"/>
      <c r="I293" s="348"/>
    </row>
    <row r="294" spans="1:9" ht="17" customHeight="1" x14ac:dyDescent="0.2">
      <c r="A294" s="9"/>
      <c r="B294" s="32"/>
      <c r="C294" s="339" t="s">
        <v>180</v>
      </c>
      <c r="D294" s="340" t="s">
        <v>186</v>
      </c>
      <c r="E294" s="341" t="s">
        <v>182</v>
      </c>
      <c r="F294" s="340" t="s">
        <v>186</v>
      </c>
      <c r="G294" s="341" t="s">
        <v>182</v>
      </c>
      <c r="H294" s="345"/>
      <c r="I294" s="23"/>
    </row>
    <row r="295" spans="1:9" ht="17" customHeight="1" x14ac:dyDescent="0.2">
      <c r="A295" s="9"/>
      <c r="B295" s="32"/>
      <c r="C295" s="27" t="str">
        <f>C288</f>
        <v>2022-23</v>
      </c>
      <c r="D295" s="342">
        <f>Data!C17</f>
        <v>3.5</v>
      </c>
      <c r="E295" s="343">
        <f>Data!C25</f>
        <v>42315</v>
      </c>
      <c r="F295" s="342">
        <f>Data!C18</f>
        <v>0</v>
      </c>
      <c r="G295" s="343">
        <f>Data!C26</f>
        <v>0</v>
      </c>
      <c r="H295" s="352"/>
      <c r="I295" s="348"/>
    </row>
    <row r="296" spans="1:9" ht="17" customHeight="1" x14ac:dyDescent="0.2">
      <c r="A296" s="9"/>
      <c r="B296" s="32"/>
      <c r="C296" s="27" t="str">
        <f>C289</f>
        <v>2023-24</v>
      </c>
      <c r="D296" s="342">
        <f>Data!D17</f>
        <v>4</v>
      </c>
      <c r="E296" s="343">
        <f>Data!D25</f>
        <v>47181.224999999999</v>
      </c>
      <c r="F296" s="342">
        <f>Data!D18</f>
        <v>0</v>
      </c>
      <c r="G296" s="343">
        <f>Data!D26</f>
        <v>0</v>
      </c>
      <c r="H296" s="352"/>
      <c r="I296" s="348"/>
    </row>
    <row r="297" spans="1:9" ht="17" customHeight="1" x14ac:dyDescent="0.2">
      <c r="A297" s="9"/>
      <c r="B297" s="32"/>
      <c r="C297" s="27" t="str">
        <f>C290</f>
        <v>2024-25</v>
      </c>
      <c r="D297" s="342">
        <f>Data!E17</f>
        <v>4</v>
      </c>
      <c r="E297" s="343">
        <f>Data!E25</f>
        <v>50955.723000000005</v>
      </c>
      <c r="F297" s="342">
        <f>Data!E18</f>
        <v>0</v>
      </c>
      <c r="G297" s="343">
        <f>Data!E26</f>
        <v>0</v>
      </c>
      <c r="H297" s="352"/>
      <c r="I297" s="348"/>
    </row>
    <row r="298" spans="1:9" ht="16" x14ac:dyDescent="0.2">
      <c r="A298" s="9"/>
      <c r="B298" s="32"/>
      <c r="C298" s="23"/>
      <c r="D298" s="11"/>
      <c r="E298" s="23"/>
      <c r="F298" s="308"/>
      <c r="G298" s="345"/>
      <c r="H298" s="345"/>
      <c r="I298" s="11"/>
    </row>
    <row r="299" spans="1:9" ht="17" customHeight="1" x14ac:dyDescent="0.2">
      <c r="A299" s="9"/>
      <c r="B299" s="9"/>
      <c r="C299" s="300"/>
      <c r="D299" s="456" t="s">
        <v>233</v>
      </c>
      <c r="E299" s="457"/>
      <c r="F299" s="440"/>
      <c r="G299" s="440"/>
      <c r="H299" s="458"/>
      <c r="I299" s="458"/>
    </row>
    <row r="300" spans="1:9" ht="17" customHeight="1" x14ac:dyDescent="0.2">
      <c r="A300" s="9"/>
      <c r="B300" s="32"/>
      <c r="C300" s="27" t="str">
        <f>C295</f>
        <v>2022-23</v>
      </c>
      <c r="D300" s="346"/>
      <c r="E300" s="343">
        <f>Data!C27</f>
        <v>0</v>
      </c>
      <c r="F300" s="346"/>
      <c r="G300" s="347"/>
      <c r="H300" s="346"/>
      <c r="I300" s="348"/>
    </row>
    <row r="301" spans="1:9" ht="17" customHeight="1" x14ac:dyDescent="0.2">
      <c r="A301" s="9"/>
      <c r="B301" s="32"/>
      <c r="C301" s="27" t="str">
        <f t="shared" ref="C301:C302" si="18">C296</f>
        <v>2023-24</v>
      </c>
      <c r="D301" s="346"/>
      <c r="E301" s="343">
        <f>Data!D27</f>
        <v>0</v>
      </c>
      <c r="F301" s="346"/>
      <c r="G301" s="347"/>
      <c r="H301" s="346"/>
      <c r="I301" s="348"/>
    </row>
    <row r="302" spans="1:9" ht="17" customHeight="1" x14ac:dyDescent="0.2">
      <c r="A302" s="9"/>
      <c r="B302" s="32"/>
      <c r="C302" s="27" t="str">
        <f t="shared" si="18"/>
        <v>2024-25</v>
      </c>
      <c r="D302" s="346"/>
      <c r="E302" s="343">
        <f>Data!E27</f>
        <v>0</v>
      </c>
      <c r="F302" s="346"/>
      <c r="G302" s="347"/>
      <c r="H302" s="346"/>
      <c r="I302" s="348"/>
    </row>
    <row r="303" spans="1:9" ht="16" x14ac:dyDescent="0.2">
      <c r="A303" s="9"/>
      <c r="B303" s="32"/>
      <c r="C303" s="23"/>
      <c r="D303" s="11"/>
      <c r="E303" s="23"/>
      <c r="F303" s="308"/>
      <c r="G303" s="345"/>
      <c r="H303" s="345"/>
      <c r="I303" s="11"/>
    </row>
    <row r="304" spans="1:9" ht="37.5" customHeight="1" x14ac:dyDescent="0.2">
      <c r="A304" s="9"/>
      <c r="B304" s="32"/>
      <c r="C304" s="23"/>
      <c r="D304" s="349" t="s">
        <v>235</v>
      </c>
      <c r="E304" s="350" t="s">
        <v>188</v>
      </c>
      <c r="F304" s="350" t="s">
        <v>252</v>
      </c>
      <c r="G304" s="351" t="s">
        <v>161</v>
      </c>
      <c r="H304" s="23"/>
      <c r="I304" s="229"/>
    </row>
    <row r="305" spans="1:10" ht="17" customHeight="1" x14ac:dyDescent="0.2">
      <c r="A305" s="9"/>
      <c r="B305" s="32"/>
      <c r="C305" s="27" t="str">
        <f>C295</f>
        <v>2022-23</v>
      </c>
      <c r="D305" s="297">
        <f>(D295*E295)+(F295*G295)+E300</f>
        <v>148102.5</v>
      </c>
      <c r="E305" s="269">
        <f>Data!C97+Data!C108</f>
        <v>428602</v>
      </c>
      <c r="F305" s="269">
        <f>E305-D305</f>
        <v>280499.5</v>
      </c>
      <c r="G305" s="319" t="str">
        <f>IF(E305-D305&lt;0,"Understated","No")</f>
        <v>No</v>
      </c>
      <c r="H305" s="310"/>
      <c r="I305" s="310"/>
    </row>
    <row r="306" spans="1:10" ht="17" customHeight="1" x14ac:dyDescent="0.2">
      <c r="A306" s="9"/>
      <c r="B306" s="32"/>
      <c r="C306" s="27" t="str">
        <f>C296</f>
        <v>2023-24</v>
      </c>
      <c r="D306" s="297">
        <f>(D296*E296)+(F296*G296)+E301</f>
        <v>188724.9</v>
      </c>
      <c r="E306" s="269">
        <f>Data!D97+Data!D108</f>
        <v>502891.23</v>
      </c>
      <c r="F306" s="269">
        <f t="shared" ref="F306:F307" si="19">E306-D306</f>
        <v>314166.32999999996</v>
      </c>
      <c r="G306" s="319" t="str">
        <f t="shared" ref="G306:G307" si="20">IF(E306-D306&lt;0,"Understated","No")</f>
        <v>No</v>
      </c>
      <c r="H306" s="310"/>
      <c r="I306" s="310"/>
    </row>
    <row r="307" spans="1:10" ht="17" customHeight="1" x14ac:dyDescent="0.2">
      <c r="A307" s="9"/>
      <c r="B307" s="32"/>
      <c r="C307" s="27" t="str">
        <f>C297</f>
        <v>2024-25</v>
      </c>
      <c r="D307" s="297">
        <f>(D297*E297)+(F297*G297)+E302</f>
        <v>203822.89200000002</v>
      </c>
      <c r="E307" s="269">
        <f>Data!E97+Data!E108</f>
        <v>543122.52840000007</v>
      </c>
      <c r="F307" s="269">
        <f t="shared" si="19"/>
        <v>339299.63640000008</v>
      </c>
      <c r="G307" s="319" t="str">
        <f t="shared" si="20"/>
        <v>No</v>
      </c>
      <c r="H307" s="310"/>
      <c r="I307" s="310"/>
    </row>
    <row r="308" spans="1:10" ht="17" customHeight="1" thickBot="1" x14ac:dyDescent="0.25">
      <c r="A308" s="9"/>
      <c r="B308" s="32"/>
      <c r="C308" s="20"/>
      <c r="D308" s="225"/>
      <c r="E308" s="220"/>
      <c r="F308" s="310"/>
      <c r="G308" s="310"/>
      <c r="H308" s="310"/>
      <c r="I308" s="310"/>
    </row>
    <row r="309" spans="1:10" s="4" customFormat="1" ht="29.25" customHeight="1" thickBot="1" x14ac:dyDescent="0.2">
      <c r="B309" s="581" t="s">
        <v>245</v>
      </c>
      <c r="C309" s="582"/>
      <c r="D309" s="582"/>
      <c r="E309" s="582"/>
      <c r="F309" s="582"/>
      <c r="G309" s="582"/>
      <c r="H309" s="582"/>
      <c r="I309" s="583"/>
    </row>
    <row r="310" spans="1:10" s="4" customFormat="1" ht="94.5" customHeight="1" x14ac:dyDescent="0.15">
      <c r="B310" s="568"/>
      <c r="C310" s="569"/>
      <c r="D310" s="569"/>
      <c r="E310" s="569"/>
      <c r="F310" s="569"/>
      <c r="G310" s="569"/>
      <c r="H310" s="569"/>
      <c r="I310" s="570"/>
    </row>
    <row r="311" spans="1:10" ht="17" customHeight="1" x14ac:dyDescent="0.2">
      <c r="A311" s="9"/>
      <c r="B311" s="32"/>
      <c r="C311" s="11"/>
      <c r="D311" s="11"/>
      <c r="E311" s="220"/>
      <c r="F311" s="308"/>
      <c r="G311" s="310"/>
      <c r="H311" s="310"/>
      <c r="I311" s="11"/>
    </row>
    <row r="312" spans="1:10" ht="17" customHeight="1" x14ac:dyDescent="0.2">
      <c r="A312" s="9"/>
      <c r="B312" s="9" t="s">
        <v>246</v>
      </c>
      <c r="C312" s="253"/>
      <c r="D312" s="253"/>
      <c r="E312" s="253"/>
      <c r="F312" s="253"/>
      <c r="G312" s="253"/>
      <c r="H312" s="253"/>
      <c r="I312" s="253"/>
    </row>
    <row r="313" spans="1:10" ht="17" customHeight="1" x14ac:dyDescent="0.2">
      <c r="A313" s="9"/>
      <c r="B313" s="9" t="s">
        <v>155</v>
      </c>
      <c r="C313" s="9" t="s">
        <v>178</v>
      </c>
      <c r="D313" s="11"/>
      <c r="E313" s="23"/>
      <c r="F313" s="308"/>
      <c r="G313" s="309"/>
      <c r="H313" s="310"/>
      <c r="I313" s="11"/>
    </row>
    <row r="314" spans="1:10" ht="29.25" customHeight="1" x14ac:dyDescent="0.2">
      <c r="A314" s="9"/>
      <c r="B314" s="32"/>
      <c r="C314" s="11"/>
      <c r="D314" s="311" t="s">
        <v>236</v>
      </c>
      <c r="E314" s="312" t="s">
        <v>240</v>
      </c>
      <c r="F314" s="313" t="s">
        <v>163</v>
      </c>
      <c r="G314" s="314" t="s">
        <v>164</v>
      </c>
      <c r="H314" s="315" t="s">
        <v>242</v>
      </c>
      <c r="I314" s="315" t="s">
        <v>243</v>
      </c>
      <c r="J314" s="316"/>
    </row>
    <row r="315" spans="1:10" ht="17" customHeight="1" x14ac:dyDescent="0.2">
      <c r="A315" s="9"/>
      <c r="B315" s="32"/>
      <c r="C315" s="27" t="str">
        <f>C288</f>
        <v>2022-23</v>
      </c>
      <c r="D315" s="297">
        <f>IF(Data!C32&lt;&gt;0,Data!C32*((E278*D278)+(G278*F278)+(I278*H278)),Data!C34*(Review!D278+Review!F278+Review!H278))</f>
        <v>1430749.3758571427</v>
      </c>
      <c r="E315" s="297">
        <f>IF(Data!C33&lt;&gt;0,Data!C33*((D295*E295)+(F295*G295)),Data!C35*(Review!D295+Review!F295))</f>
        <v>38017.911749999999</v>
      </c>
      <c r="F315" s="297">
        <f>Data!C30*(D278+F278+H278)</f>
        <v>2262557.1428571427</v>
      </c>
      <c r="G315" s="297">
        <f>Data!C29*(D295+F295)</f>
        <v>65100</v>
      </c>
      <c r="H315" s="297">
        <f>(Data!C38+Data!C39+Data!C40)*E288</f>
        <v>695465.68299999996</v>
      </c>
      <c r="I315" s="297">
        <f>(Data!C37+Data!C38+Data!C39+Data!C40)*E305</f>
        <v>58932.775000000001</v>
      </c>
      <c r="J315" s="213"/>
    </row>
    <row r="316" spans="1:10" ht="17" customHeight="1" x14ac:dyDescent="0.2">
      <c r="A316" s="9"/>
      <c r="B316" s="32"/>
      <c r="C316" s="27" t="str">
        <f>C289</f>
        <v>2023-24</v>
      </c>
      <c r="D316" s="297">
        <f>IF(Data!D32&lt;&gt;0,Data!D32*((E279*D279)+(G279*F279)+(I279*H279)),Data!D32*(D279+F279+H279))</f>
        <v>1654948.1247607141</v>
      </c>
      <c r="E316" s="297">
        <f>IF(Data!D33&lt;&gt;0,Data!D33*((D296*E296)+(F296*G296)),Data!D35*(Review!D296+Review!F296))</f>
        <v>47558.674800000001</v>
      </c>
      <c r="F316" s="297">
        <f>Data!D30*(D279+F279+H279)</f>
        <v>2336957.1428571427</v>
      </c>
      <c r="G316" s="297">
        <f>Data!D29*(D296+F296)</f>
        <v>74400</v>
      </c>
      <c r="H316" s="297">
        <f>(Data!D38+Data!D39+Data!D40)*E289</f>
        <v>790544.23654499999</v>
      </c>
      <c r="I316" s="297">
        <f>(Data!D37+Data!D38+Data!D39+Data!D40)*E306</f>
        <v>69147.544125</v>
      </c>
      <c r="J316" s="213"/>
    </row>
    <row r="317" spans="1:10" ht="17" customHeight="1" x14ac:dyDescent="0.2">
      <c r="A317" s="9"/>
      <c r="B317" s="32"/>
      <c r="C317" s="27" t="str">
        <f>C290</f>
        <v>2024-25</v>
      </c>
      <c r="D317" s="297">
        <f>IF(Data!E32&lt;&gt;0,Data!E32*((E280*D280)+(G280*F280)+(I280*H280)),Data!E32*(D280+F280+H280))</f>
        <v>1787343.9747415714</v>
      </c>
      <c r="E317" s="297">
        <f>IF(Data!E33&lt;&gt;0,Data!E33*((D297*E297)+(F297*G297)),Data!E35*(Review!D297+Review!F297))</f>
        <v>50140.431432000005</v>
      </c>
      <c r="F317" s="297">
        <f>Data!E30*(D280+F280+H280)</f>
        <v>2336957.1428571427</v>
      </c>
      <c r="G317" s="297">
        <f>Data!E29*(D297+F297)</f>
        <v>74400</v>
      </c>
      <c r="H317" s="297">
        <f>(Data!E38+Data!E39+Data!E40)*E290</f>
        <v>853787.7754686001</v>
      </c>
      <c r="I317" s="297">
        <f>(Data!E37+Data!E38+Data!E39+Data!E40)*E307</f>
        <v>74679.34765500002</v>
      </c>
      <c r="J317" s="213"/>
    </row>
    <row r="318" spans="1:10" ht="17" customHeight="1" thickBot="1" x14ac:dyDescent="0.25">
      <c r="A318" s="9"/>
      <c r="B318" s="32"/>
      <c r="C318" s="23"/>
      <c r="D318" s="11"/>
      <c r="E318" s="23"/>
      <c r="F318" s="308"/>
      <c r="G318" s="309"/>
      <c r="H318" s="309"/>
      <c r="I318" s="11"/>
    </row>
    <row r="319" spans="1:10" ht="33" customHeight="1" x14ac:dyDescent="0.2">
      <c r="A319" s="9"/>
      <c r="B319" s="32"/>
      <c r="C319" s="23"/>
      <c r="D319" s="301" t="s">
        <v>165</v>
      </c>
      <c r="E319" s="317" t="s">
        <v>189</v>
      </c>
      <c r="F319" s="318" t="s">
        <v>161</v>
      </c>
      <c r="G319" s="584" t="s">
        <v>255</v>
      </c>
      <c r="H319" s="585"/>
      <c r="I319" s="585"/>
      <c r="J319" s="586"/>
    </row>
    <row r="320" spans="1:10" ht="17" customHeight="1" x14ac:dyDescent="0.2">
      <c r="A320" s="9"/>
      <c r="B320" s="32"/>
      <c r="C320" s="27" t="str">
        <f>C315</f>
        <v>2022-23</v>
      </c>
      <c r="D320" s="297">
        <f>SUM(D315:I315)</f>
        <v>4550822.888464286</v>
      </c>
      <c r="E320" s="297">
        <f>Data!C98+Data!C109</f>
        <v>3728434</v>
      </c>
      <c r="F320" s="405">
        <f>IF(E320-D320&lt;0,E320-D320,"No")</f>
        <v>-822388.88846428599</v>
      </c>
      <c r="G320" s="594"/>
      <c r="H320" s="595"/>
      <c r="I320" s="595"/>
      <c r="J320" s="596"/>
    </row>
    <row r="321" spans="1:10" ht="17" customHeight="1" x14ac:dyDescent="0.2">
      <c r="A321" s="9"/>
      <c r="B321" s="32"/>
      <c r="C321" s="27" t="str">
        <f t="shared" ref="C321:C322" si="21">C316</f>
        <v>2023-24</v>
      </c>
      <c r="D321" s="297">
        <f t="shared" ref="D321:D322" si="22">SUM(D316:I316)</f>
        <v>4973555.7230878565</v>
      </c>
      <c r="E321" s="297">
        <f>Data!D98+Data!D109</f>
        <v>4325586.7300000004</v>
      </c>
      <c r="F321" s="405">
        <f>IF(E321-D321&lt;0,E321-D321,"No")</f>
        <v>-647968.9930878561</v>
      </c>
      <c r="G321" s="597"/>
      <c r="H321" s="598"/>
      <c r="I321" s="598"/>
      <c r="J321" s="599"/>
    </row>
    <row r="322" spans="1:10" ht="17" customHeight="1" x14ac:dyDescent="0.2">
      <c r="A322" s="9"/>
      <c r="B322" s="32"/>
      <c r="C322" s="27" t="str">
        <f t="shared" si="21"/>
        <v>2024-25</v>
      </c>
      <c r="D322" s="297">
        <f t="shared" si="22"/>
        <v>5177308.6721543139</v>
      </c>
      <c r="E322" s="297">
        <f>Data!E98+Data!E109</f>
        <v>4779773.33665</v>
      </c>
      <c r="F322" s="405">
        <f>IF(E322-D322&lt;0,E322-D322,"No")</f>
        <v>-397535.33550431393</v>
      </c>
      <c r="G322" s="597"/>
      <c r="H322" s="598"/>
      <c r="I322" s="598"/>
      <c r="J322" s="599"/>
    </row>
    <row r="323" spans="1:10" ht="33" customHeight="1" x14ac:dyDescent="0.2">
      <c r="A323" s="9"/>
      <c r="B323" s="32"/>
      <c r="C323" s="11"/>
      <c r="D323" s="11"/>
      <c r="E323" s="23"/>
      <c r="F323" s="308"/>
      <c r="G323" s="597"/>
      <c r="H323" s="598"/>
      <c r="I323" s="598"/>
      <c r="J323" s="599"/>
    </row>
    <row r="324" spans="1:10" ht="17" customHeight="1" x14ac:dyDescent="0.2">
      <c r="A324" s="9"/>
      <c r="B324" s="32"/>
      <c r="G324" s="600"/>
      <c r="H324" s="601"/>
      <c r="I324" s="601"/>
      <c r="J324" s="602"/>
    </row>
    <row r="325" spans="1:10" ht="17" customHeight="1" thickBot="1" x14ac:dyDescent="0.25">
      <c r="A325" s="9"/>
      <c r="B325" s="32"/>
      <c r="C325" s="580" t="s">
        <v>78</v>
      </c>
      <c r="D325" s="580"/>
      <c r="E325" s="580"/>
      <c r="F325" s="580"/>
      <c r="G325" s="580"/>
      <c r="H325" s="580"/>
    </row>
    <row r="326" spans="1:10" s="11" customFormat="1" ht="17" customHeight="1" thickBot="1" x14ac:dyDescent="0.2">
      <c r="A326" s="20"/>
      <c r="B326" s="320"/>
      <c r="C326" s="576" t="s">
        <v>79</v>
      </c>
      <c r="D326" s="577"/>
      <c r="E326" s="321" t="str">
        <f>E205</f>
        <v>2022-23</v>
      </c>
      <c r="F326" s="321" t="str">
        <f>F205</f>
        <v>2023-24</v>
      </c>
      <c r="G326" s="322" t="str">
        <f>G205</f>
        <v>2024-25</v>
      </c>
      <c r="H326" s="238"/>
    </row>
    <row r="327" spans="1:10" s="11" customFormat="1" ht="17" customHeight="1" x14ac:dyDescent="0.15">
      <c r="A327" s="20"/>
      <c r="B327" s="303"/>
      <c r="C327" s="578" t="s">
        <v>80</v>
      </c>
      <c r="D327" s="578"/>
      <c r="E327" s="177">
        <f>Data!C32</f>
        <v>0.191</v>
      </c>
      <c r="F327" s="177">
        <f>Data!D32</f>
        <v>0.191</v>
      </c>
      <c r="G327" s="177">
        <f>Data!E32</f>
        <v>0.191</v>
      </c>
      <c r="H327" s="238"/>
    </row>
    <row r="328" spans="1:10" s="11" customFormat="1" ht="17" customHeight="1" x14ac:dyDescent="0.15">
      <c r="A328" s="20"/>
      <c r="B328" s="303"/>
      <c r="C328" s="579" t="s">
        <v>81</v>
      </c>
      <c r="D328" s="579"/>
      <c r="E328" s="323">
        <v>0.191</v>
      </c>
      <c r="F328" s="323">
        <v>0.191</v>
      </c>
      <c r="G328" s="323">
        <v>0.191</v>
      </c>
      <c r="H328" s="238"/>
    </row>
    <row r="329" spans="1:10" s="11" customFormat="1" ht="17" customHeight="1" x14ac:dyDescent="0.15">
      <c r="A329" s="20"/>
      <c r="B329" s="303"/>
      <c r="C329" s="227"/>
      <c r="D329" s="238"/>
      <c r="E329" s="268" t="str">
        <f>IF(E328&gt;F327,"Understated",IF(E328="","",IF(E327&gt;E328,"Overstated","Agrees")))</f>
        <v>Agrees</v>
      </c>
      <c r="F329" s="268" t="str">
        <f>IF(F328&gt;F327,"Understated",IF(F328="","",IF(F327&gt;F328,"Overstated","Agrees")))</f>
        <v>Agrees</v>
      </c>
      <c r="G329" s="268" t="str">
        <f>IF(G328&gt;G327,"Understated",IF(G328="","",IF(G327&gt;G328,"Overstated","Agrees")))</f>
        <v>Agrees</v>
      </c>
      <c r="H329" s="238"/>
    </row>
    <row r="330" spans="1:10" s="11" customFormat="1" ht="17" customHeight="1" thickBot="1" x14ac:dyDescent="0.2">
      <c r="A330" s="20"/>
      <c r="B330" s="303"/>
      <c r="C330" s="227"/>
      <c r="D330" s="238"/>
      <c r="E330" s="238"/>
      <c r="F330" s="238"/>
      <c r="G330" s="238"/>
      <c r="H330" s="238"/>
    </row>
    <row r="331" spans="1:10" s="11" customFormat="1" ht="17" customHeight="1" thickBot="1" x14ac:dyDescent="0.2">
      <c r="A331" s="20"/>
      <c r="B331" s="303"/>
      <c r="C331" s="576" t="s">
        <v>82</v>
      </c>
      <c r="D331" s="577"/>
      <c r="E331" s="321" t="str">
        <f>E326</f>
        <v>2022-23</v>
      </c>
      <c r="F331" s="321" t="str">
        <f>F326</f>
        <v>2023-24</v>
      </c>
      <c r="G331" s="322" t="str">
        <f>G326</f>
        <v>2024-25</v>
      </c>
      <c r="H331" s="238"/>
    </row>
    <row r="332" spans="1:10" s="11" customFormat="1" ht="17" customHeight="1" x14ac:dyDescent="0.15">
      <c r="A332" s="20"/>
      <c r="B332" s="303"/>
      <c r="C332" s="578" t="s">
        <v>80</v>
      </c>
      <c r="D332" s="578"/>
      <c r="E332" s="324">
        <f>Data!C33</f>
        <v>0.25669999999999998</v>
      </c>
      <c r="F332" s="324">
        <f>Data!D33</f>
        <v>0.252</v>
      </c>
      <c r="G332" s="324">
        <f>Data!E33</f>
        <v>0.246</v>
      </c>
      <c r="H332" s="238"/>
    </row>
    <row r="333" spans="1:10" s="11" customFormat="1" ht="17" customHeight="1" x14ac:dyDescent="0.15">
      <c r="A333" s="20"/>
      <c r="B333" s="303"/>
      <c r="C333" s="579" t="s">
        <v>81</v>
      </c>
      <c r="D333" s="579"/>
      <c r="E333" s="323">
        <v>0.25669999999999998</v>
      </c>
      <c r="F333" s="323">
        <v>0.252</v>
      </c>
      <c r="G333" s="323">
        <v>0.24199999999999999</v>
      </c>
      <c r="H333" s="238"/>
    </row>
    <row r="334" spans="1:10" ht="17" customHeight="1" x14ac:dyDescent="0.2">
      <c r="A334" s="9"/>
      <c r="B334" s="32"/>
      <c r="C334" s="35"/>
      <c r="D334" s="122"/>
      <c r="E334" s="268" t="str">
        <f>IF(E333&gt;E332,"Understated",IF(E333&lt;E332,"Overstated",""))</f>
        <v/>
      </c>
      <c r="F334" s="268" t="str">
        <f t="shared" ref="F334:G334" si="23">IF(F333&gt;F332,"Understated",IF(F333&lt;F332,"Overstated",""))</f>
        <v/>
      </c>
      <c r="G334" s="268" t="str">
        <f t="shared" si="23"/>
        <v>Overstated</v>
      </c>
      <c r="H334" s="122"/>
    </row>
    <row r="335" spans="1:10" ht="17" customHeight="1" thickBot="1" x14ac:dyDescent="0.25">
      <c r="A335" s="9"/>
      <c r="B335" s="32"/>
      <c r="C335" s="35"/>
      <c r="D335" s="122"/>
      <c r="E335" s="48"/>
      <c r="F335" s="48"/>
      <c r="G335" s="48"/>
      <c r="H335" s="122"/>
    </row>
    <row r="336" spans="1:10" s="11" customFormat="1" ht="44" thickBot="1" x14ac:dyDescent="0.25">
      <c r="A336" s="20"/>
      <c r="C336" s="300" t="s">
        <v>247</v>
      </c>
      <c r="D336" s="301" t="s">
        <v>248</v>
      </c>
      <c r="E336" s="301" t="s">
        <v>249</v>
      </c>
      <c r="F336" s="301" t="s">
        <v>250</v>
      </c>
      <c r="G336" s="302" t="s">
        <v>251</v>
      </c>
      <c r="H336" s="497" t="s">
        <v>263</v>
      </c>
      <c r="I336" s="498"/>
      <c r="J336" s="499"/>
    </row>
    <row r="337" spans="1:10" s="11" customFormat="1" ht="17" customHeight="1" x14ac:dyDescent="0.15">
      <c r="A337" s="20"/>
      <c r="B337" s="303"/>
      <c r="C337" s="23" t="str">
        <f>B134</f>
        <v>2019-20</v>
      </c>
      <c r="D337" s="304">
        <v>5893287</v>
      </c>
      <c r="E337" s="305">
        <v>2025427</v>
      </c>
      <c r="F337" s="306">
        <f>IF(E337&gt;0,E337/D337,IF(E337&lt;0,E337/D337,"Missing Data"))</f>
        <v>0.34368375407476337</v>
      </c>
      <c r="G337" s="233"/>
      <c r="H337" s="587" t="s">
        <v>351</v>
      </c>
      <c r="I337" s="588"/>
      <c r="J337" s="589"/>
    </row>
    <row r="338" spans="1:10" s="11" customFormat="1" ht="17" customHeight="1" x14ac:dyDescent="0.15">
      <c r="A338" s="20"/>
      <c r="B338" s="303"/>
      <c r="C338" s="23" t="str">
        <f t="shared" ref="C338:C339" si="24">B135</f>
        <v>2020-21</v>
      </c>
      <c r="D338" s="304">
        <v>7019427</v>
      </c>
      <c r="E338" s="305">
        <v>2319870</v>
      </c>
      <c r="F338" s="306">
        <f t="shared" ref="F338:F342" si="25">IF(E338&gt;0,E338/D338,IF(E338&lt;0,E338/D338,"Missing Data"))</f>
        <v>0.33049278808654897</v>
      </c>
      <c r="G338" s="233"/>
      <c r="H338" s="590"/>
      <c r="I338" s="591"/>
      <c r="J338" s="592"/>
    </row>
    <row r="339" spans="1:10" s="11" customFormat="1" ht="17" customHeight="1" x14ac:dyDescent="0.15">
      <c r="A339" s="20"/>
      <c r="B339" s="303"/>
      <c r="C339" s="23" t="str">
        <f t="shared" si="24"/>
        <v>2021-22</v>
      </c>
      <c r="D339" s="407">
        <f>Data!B96+Data!B97+Data!B107+Data!B108</f>
        <v>9410468</v>
      </c>
      <c r="E339" s="408">
        <f>Data!B98+Data!B109</f>
        <v>3591643</v>
      </c>
      <c r="F339" s="306">
        <f t="shared" si="25"/>
        <v>0.38166465259751164</v>
      </c>
      <c r="G339" s="233"/>
      <c r="H339" s="590"/>
      <c r="I339" s="591"/>
      <c r="J339" s="592"/>
    </row>
    <row r="340" spans="1:10" s="11" customFormat="1" ht="17" customHeight="1" x14ac:dyDescent="0.15">
      <c r="A340" s="20"/>
      <c r="B340" s="303"/>
      <c r="C340" s="27" t="str">
        <f>C320</f>
        <v>2022-23</v>
      </c>
      <c r="D340" s="409">
        <f>Data!C96+Data!C97+Data!C107+Data!C108</f>
        <v>9640068</v>
      </c>
      <c r="E340" s="410">
        <f>Data!C98+Data!C109</f>
        <v>3728434</v>
      </c>
      <c r="F340" s="306">
        <f t="shared" si="25"/>
        <v>0.38676428423533943</v>
      </c>
      <c r="G340" s="301" t="str">
        <f>IF($F$343="Insufficient History","Insufficient History",IF(F340&lt;$F$343-0.05,"Yes",IF(F340&gt;$F$343+0.05,"Yes","No")))</f>
        <v>No</v>
      </c>
      <c r="H340" s="590"/>
      <c r="I340" s="591"/>
      <c r="J340" s="592"/>
    </row>
    <row r="341" spans="1:10" s="11" customFormat="1" ht="17" customHeight="1" x14ac:dyDescent="0.15">
      <c r="A341" s="20"/>
      <c r="B341" s="303"/>
      <c r="C341" s="27" t="str">
        <f>C321</f>
        <v>2023-24</v>
      </c>
      <c r="D341" s="409">
        <f>Data!D96+Data!D97+Data!D107+Data!D108</f>
        <v>10973675.82</v>
      </c>
      <c r="E341" s="410">
        <f>Data!D98+Data!D109</f>
        <v>4325586.7300000004</v>
      </c>
      <c r="F341" s="306">
        <f t="shared" si="25"/>
        <v>0.39417846863276484</v>
      </c>
      <c r="G341" s="301" t="str">
        <f t="shared" ref="G341:G342" si="26">IF($F$343="Insufficient History","Insufficient History",IF(F341&lt;$F$343-0.05,"Yes",IF(F341&gt;$F$343+0.05,"Yes","No")))</f>
        <v>No</v>
      </c>
      <c r="H341" s="590"/>
      <c r="I341" s="591"/>
      <c r="J341" s="592"/>
    </row>
    <row r="342" spans="1:10" s="11" customFormat="1" ht="17" customHeight="1" thickBot="1" x14ac:dyDescent="0.2">
      <c r="A342" s="20"/>
      <c r="B342" s="303"/>
      <c r="C342" s="27" t="str">
        <f>C322</f>
        <v>2024-25</v>
      </c>
      <c r="D342" s="409">
        <f>Data!E96+Data!E97+Data!E107+Data!E108</f>
        <v>11851569.885600001</v>
      </c>
      <c r="E342" s="410">
        <f>Data!E98+Data!E109</f>
        <v>4779773.33665</v>
      </c>
      <c r="F342" s="306">
        <f t="shared" si="25"/>
        <v>0.4033029702214862</v>
      </c>
      <c r="G342" s="301" t="str">
        <f t="shared" si="26"/>
        <v>Yes</v>
      </c>
      <c r="H342" s="590"/>
      <c r="I342" s="591"/>
      <c r="J342" s="592"/>
    </row>
    <row r="343" spans="1:10" s="11" customFormat="1" ht="34.5" customHeight="1" thickBot="1" x14ac:dyDescent="0.2">
      <c r="A343" s="20"/>
      <c r="B343" s="303"/>
      <c r="C343" s="526" t="s">
        <v>114</v>
      </c>
      <c r="D343" s="593"/>
      <c r="F343" s="406">
        <f>IF(F337="","Insufficient History",SUM(F337:F339)/3)</f>
        <v>0.35194706491960798</v>
      </c>
      <c r="G343" s="307"/>
      <c r="H343" s="590"/>
      <c r="I343" s="591"/>
      <c r="J343" s="592"/>
    </row>
    <row r="344" spans="1:10" ht="17" customHeight="1" x14ac:dyDescent="0.2">
      <c r="A344" s="9"/>
      <c r="B344" s="32"/>
      <c r="C344" s="122"/>
      <c r="D344" s="122"/>
      <c r="E344" s="122"/>
      <c r="F344" s="122"/>
      <c r="G344" s="122"/>
      <c r="H344" s="122"/>
    </row>
    <row r="345" spans="1:10" ht="17" customHeight="1" x14ac:dyDescent="0.2">
      <c r="A345" s="9"/>
      <c r="B345" s="9" t="s">
        <v>179</v>
      </c>
      <c r="C345" s="122"/>
      <c r="D345" s="122"/>
      <c r="E345" s="122"/>
      <c r="F345" s="122"/>
      <c r="G345" s="122"/>
      <c r="H345" s="122"/>
    </row>
    <row r="346" spans="1:10" ht="17" customHeight="1" x14ac:dyDescent="0.2">
      <c r="B346" s="9" t="s">
        <v>259</v>
      </c>
      <c r="C346" s="9"/>
      <c r="D346" s="9"/>
      <c r="E346" s="9"/>
      <c r="F346" s="9"/>
      <c r="G346" s="9"/>
      <c r="H346" s="1"/>
      <c r="I346" s="11"/>
      <c r="J346" s="4"/>
    </row>
    <row r="347" spans="1:10" ht="6" customHeight="1" x14ac:dyDescent="0.2">
      <c r="B347" s="325"/>
      <c r="C347" s="11"/>
      <c r="D347" s="326"/>
      <c r="E347" s="327"/>
      <c r="F347" s="325"/>
      <c r="G347" s="327"/>
      <c r="H347" s="227"/>
      <c r="I347" s="11"/>
      <c r="J347" s="4"/>
    </row>
    <row r="348" spans="1:10" ht="46" x14ac:dyDescent="0.2">
      <c r="B348" s="325"/>
      <c r="C348" s="11"/>
      <c r="D348" s="328" t="s">
        <v>167</v>
      </c>
      <c r="E348" s="329" t="s">
        <v>168</v>
      </c>
      <c r="F348" s="401" t="s">
        <v>169</v>
      </c>
      <c r="G348" s="330" t="s">
        <v>170</v>
      </c>
      <c r="H348" s="331" t="s">
        <v>161</v>
      </c>
      <c r="I348" s="4"/>
      <c r="J348" s="4"/>
    </row>
    <row r="349" spans="1:10" ht="17" customHeight="1" x14ac:dyDescent="0.2">
      <c r="B349" s="325"/>
      <c r="C349" s="27" t="str">
        <f>C320</f>
        <v>2022-23</v>
      </c>
      <c r="D349" s="332">
        <f>SUM(Data!C117:C120)</f>
        <v>0</v>
      </c>
      <c r="E349" s="333">
        <f>SUM(Data!C122:C124)</f>
        <v>708223.32</v>
      </c>
      <c r="F349" s="402">
        <f>D349+E349</f>
        <v>708223.32</v>
      </c>
      <c r="G349" s="333">
        <f>Data!C100</f>
        <v>8275472</v>
      </c>
      <c r="H349" s="332" t="str">
        <f>IF(G349-F349&gt;0,"No",G349-F349)</f>
        <v>No</v>
      </c>
      <c r="I349" s="4"/>
      <c r="J349" s="4"/>
    </row>
    <row r="350" spans="1:10" ht="17" customHeight="1" x14ac:dyDescent="0.2">
      <c r="B350" s="325"/>
      <c r="C350" s="27" t="str">
        <f>C321</f>
        <v>2023-24</v>
      </c>
      <c r="D350" s="269">
        <f>SUM(Data!D117:D120)</f>
        <v>0</v>
      </c>
      <c r="E350" s="297">
        <f>SUM(Data!D122:D124)</f>
        <v>766044.9</v>
      </c>
      <c r="F350" s="399">
        <f>D350+E350</f>
        <v>766044.9</v>
      </c>
      <c r="G350" s="297">
        <f>Data!D100</f>
        <v>9820264.4800000004</v>
      </c>
      <c r="H350" s="269" t="str">
        <f t="shared" ref="H350:H351" si="27">IF(G350-F350&gt;0,"No",G350-F350)</f>
        <v>No</v>
      </c>
      <c r="I350" s="4"/>
      <c r="J350" s="4"/>
    </row>
    <row r="351" spans="1:10" ht="16" x14ac:dyDescent="0.2">
      <c r="B351" s="325"/>
      <c r="C351" s="27" t="str">
        <f>C322</f>
        <v>2024-25</v>
      </c>
      <c r="D351" s="269">
        <f>SUM(Data!E117:E120)</f>
        <v>0</v>
      </c>
      <c r="E351" s="297">
        <f>SUM(Data!E122:E124)</f>
        <v>793066.62</v>
      </c>
      <c r="F351" s="399">
        <f>D351+E351</f>
        <v>793066.62</v>
      </c>
      <c r="G351" s="297">
        <f>Data!E100</f>
        <v>10405885.638400001</v>
      </c>
      <c r="H351" s="269" t="str">
        <f t="shared" si="27"/>
        <v>No</v>
      </c>
      <c r="I351" s="4"/>
      <c r="J351" s="4"/>
    </row>
    <row r="352" spans="1:10" ht="13.5" customHeight="1" thickBot="1" x14ac:dyDescent="0.25">
      <c r="B352" s="325"/>
      <c r="C352" s="227"/>
      <c r="D352" s="326"/>
      <c r="E352" s="334" t="str">
        <f>IF(D352="yes","Amount?","")</f>
        <v/>
      </c>
      <c r="F352" s="335"/>
      <c r="G352" s="327"/>
      <c r="H352" s="227" t="str">
        <f>IF(D352="yes","Included in MYP?","")</f>
        <v/>
      </c>
      <c r="I352" s="11"/>
      <c r="J352" s="4"/>
    </row>
    <row r="353" spans="1:10" ht="17" customHeight="1" thickBot="1" x14ac:dyDescent="0.25">
      <c r="B353" s="573" t="s">
        <v>216</v>
      </c>
      <c r="C353" s="574"/>
      <c r="D353" s="574"/>
      <c r="E353" s="574"/>
      <c r="F353" s="574"/>
      <c r="G353" s="574"/>
      <c r="H353" s="574"/>
      <c r="I353" s="575"/>
      <c r="J353" s="4"/>
    </row>
    <row r="354" spans="1:10" ht="71.25" customHeight="1" x14ac:dyDescent="0.2">
      <c r="B354" s="568" t="s">
        <v>113</v>
      </c>
      <c r="C354" s="569"/>
      <c r="D354" s="569"/>
      <c r="E354" s="569"/>
      <c r="F354" s="569"/>
      <c r="G354" s="569"/>
      <c r="H354" s="569"/>
      <c r="I354" s="570"/>
      <c r="J354" s="4"/>
    </row>
    <row r="355" spans="1:10" ht="17" customHeight="1" x14ac:dyDescent="0.2">
      <c r="J355" s="4"/>
    </row>
    <row r="356" spans="1:10" s="53" customFormat="1" ht="19.5" customHeight="1" x14ac:dyDescent="0.15">
      <c r="A356" s="49" t="s">
        <v>89</v>
      </c>
      <c r="B356" s="50"/>
      <c r="C356" s="50"/>
      <c r="D356" s="51"/>
      <c r="E356" s="51"/>
      <c r="F356" s="52"/>
      <c r="G356" s="50" t="s">
        <v>24</v>
      </c>
      <c r="H356" s="50"/>
      <c r="I356" s="50"/>
      <c r="J356" s="50"/>
    </row>
    <row r="357" spans="1:10" s="19" customFormat="1" ht="7.5" customHeight="1" x14ac:dyDescent="0.2">
      <c r="A357" s="7"/>
      <c r="B357" s="147"/>
      <c r="C357" s="6"/>
      <c r="F357" s="7"/>
      <c r="G357" s="4"/>
      <c r="H357" s="4"/>
      <c r="I357" s="4"/>
      <c r="J357" s="4"/>
    </row>
    <row r="358" spans="1:10" s="19" customFormat="1" ht="17" customHeight="1" x14ac:dyDescent="0.2">
      <c r="A358" s="7"/>
      <c r="B358" s="216" t="s">
        <v>204</v>
      </c>
      <c r="C358" s="6"/>
      <c r="F358" s="7"/>
      <c r="G358" s="4"/>
      <c r="I358" s="270" t="str">
        <f>IF((E376+G376+I376)&gt;0,"Yes",IF((E373+G373+I373)&gt;0,"Yes","No"))</f>
        <v>No</v>
      </c>
      <c r="J358" s="4"/>
    </row>
    <row r="359" spans="1:10" s="19" customFormat="1" ht="17" customHeight="1" x14ac:dyDescent="0.2">
      <c r="A359" s="7"/>
      <c r="B359" s="147"/>
      <c r="C359" s="6" t="s">
        <v>196</v>
      </c>
      <c r="F359" s="7"/>
      <c r="G359" s="4"/>
      <c r="H359" s="4"/>
      <c r="I359" s="4"/>
      <c r="J359" s="4"/>
    </row>
    <row r="360" spans="1:10" s="19" customFormat="1" ht="17" customHeight="1" x14ac:dyDescent="0.2">
      <c r="A360" s="7"/>
      <c r="B360" s="147"/>
      <c r="C360" s="6"/>
      <c r="D360" s="554" t="str">
        <f>C349</f>
        <v>2022-23</v>
      </c>
      <c r="E360" s="555"/>
      <c r="F360" s="554" t="str">
        <f>C350</f>
        <v>2023-24</v>
      </c>
      <c r="G360" s="555"/>
      <c r="H360" s="554" t="str">
        <f>C351</f>
        <v>2024-25</v>
      </c>
      <c r="I360" s="555"/>
      <c r="J360" s="4"/>
    </row>
    <row r="361" spans="1:10" s="19" customFormat="1" ht="17" customHeight="1" x14ac:dyDescent="0.2">
      <c r="A361" s="7"/>
      <c r="B361" s="147"/>
      <c r="C361" s="6"/>
      <c r="D361" s="271" t="s">
        <v>194</v>
      </c>
      <c r="E361" s="271" t="s">
        <v>195</v>
      </c>
      <c r="F361" s="271" t="s">
        <v>194</v>
      </c>
      <c r="G361" s="271" t="s">
        <v>195</v>
      </c>
      <c r="H361" s="271" t="s">
        <v>194</v>
      </c>
      <c r="I361" s="271" t="s">
        <v>195</v>
      </c>
      <c r="J361" s="4"/>
    </row>
    <row r="362" spans="1:10" s="19" customFormat="1" ht="17" customHeight="1" x14ac:dyDescent="0.2">
      <c r="A362" s="7"/>
      <c r="B362" s="26" t="str">
        <f>T(Data!A126)</f>
        <v>Debt</v>
      </c>
      <c r="C362" s="6"/>
      <c r="D362" s="269">
        <f>Data!C127</f>
        <v>0</v>
      </c>
      <c r="E362" s="95"/>
      <c r="F362" s="269">
        <f>Data!D127</f>
        <v>0</v>
      </c>
      <c r="G362" s="95"/>
      <c r="H362" s="269">
        <f>Data!E127</f>
        <v>0</v>
      </c>
      <c r="I362" s="95"/>
      <c r="J362" s="4"/>
    </row>
    <row r="363" spans="1:10" s="19" customFormat="1" ht="17" customHeight="1" x14ac:dyDescent="0.2">
      <c r="A363" s="7"/>
      <c r="B363" s="26" t="str">
        <f>T(Data!A127)</f>
        <v>State School Building Loans</v>
      </c>
      <c r="C363" s="6"/>
      <c r="D363" s="269">
        <f>Data!C128</f>
        <v>0</v>
      </c>
      <c r="E363" s="95"/>
      <c r="F363" s="269">
        <f>Data!D128</f>
        <v>0</v>
      </c>
      <c r="G363" s="95"/>
      <c r="H363" s="269">
        <f>Data!E128</f>
        <v>0</v>
      </c>
      <c r="I363" s="95"/>
      <c r="J363" s="4"/>
    </row>
    <row r="364" spans="1:10" s="19" customFormat="1" ht="17" customHeight="1" x14ac:dyDescent="0.2">
      <c r="A364" s="7"/>
      <c r="B364" s="26" t="str">
        <f>T(Data!A128)</f>
        <v>Charter School Start-up Loans</v>
      </c>
      <c r="C364" s="6"/>
      <c r="D364" s="269">
        <f>Data!C129</f>
        <v>0</v>
      </c>
      <c r="E364" s="95"/>
      <c r="F364" s="269">
        <f>Data!D129</f>
        <v>0</v>
      </c>
      <c r="G364" s="95"/>
      <c r="H364" s="269">
        <f>Data!E129</f>
        <v>0</v>
      </c>
      <c r="I364" s="95"/>
      <c r="J364" s="4"/>
    </row>
    <row r="365" spans="1:10" s="19" customFormat="1" ht="17" customHeight="1" x14ac:dyDescent="0.2">
      <c r="A365" s="7"/>
      <c r="B365" s="26" t="str">
        <f>T(Data!A129)</f>
        <v>Other Post Employment Benefits</v>
      </c>
      <c r="C365" s="6"/>
      <c r="D365" s="269">
        <f>Data!C130</f>
        <v>0</v>
      </c>
      <c r="E365" s="95"/>
      <c r="F365" s="269">
        <f>Data!D130</f>
        <v>0</v>
      </c>
      <c r="G365" s="95"/>
      <c r="H365" s="269">
        <f>Data!E130</f>
        <v>0</v>
      </c>
      <c r="I365" s="95"/>
      <c r="J365" s="4"/>
    </row>
    <row r="366" spans="1:10" s="19" customFormat="1" ht="17" customHeight="1" x14ac:dyDescent="0.2">
      <c r="A366" s="7"/>
      <c r="B366" s="26" t="str">
        <f>T(Data!A130)</f>
        <v>Compensated Absences</v>
      </c>
      <c r="C366" s="6"/>
      <c r="D366" s="269">
        <f>Data!C131</f>
        <v>0</v>
      </c>
      <c r="E366" s="95"/>
      <c r="F366" s="269">
        <f>Data!D131</f>
        <v>0</v>
      </c>
      <c r="G366" s="95"/>
      <c r="H366" s="269">
        <f>Data!E131</f>
        <v>0</v>
      </c>
      <c r="I366" s="95"/>
      <c r="J366" s="4"/>
    </row>
    <row r="367" spans="1:10" s="19" customFormat="1" ht="17" customHeight="1" x14ac:dyDescent="0.2">
      <c r="A367" s="7"/>
      <c r="B367" s="26" t="str">
        <f>T(Data!A131)</f>
        <v>Bank Line of Credit Loans</v>
      </c>
      <c r="C367" s="6"/>
      <c r="D367" s="269">
        <f>Data!C132</f>
        <v>0</v>
      </c>
      <c r="E367" s="95"/>
      <c r="F367" s="269">
        <f>Data!D132</f>
        <v>0</v>
      </c>
      <c r="G367" s="95"/>
      <c r="H367" s="269">
        <f>Data!E132</f>
        <v>0</v>
      </c>
      <c r="I367" s="95"/>
      <c r="J367" s="4"/>
    </row>
    <row r="368" spans="1:10" s="19" customFormat="1" ht="17" customHeight="1" x14ac:dyDescent="0.2">
      <c r="A368" s="7"/>
      <c r="B368" s="26" t="str">
        <f>T(Data!A132)</f>
        <v>Municipal Lease</v>
      </c>
      <c r="C368" s="6"/>
      <c r="D368" s="269">
        <f>Data!C133</f>
        <v>0</v>
      </c>
      <c r="E368" s="95"/>
      <c r="F368" s="269">
        <f>Data!D133</f>
        <v>0</v>
      </c>
      <c r="G368" s="95"/>
      <c r="H368" s="269">
        <f>Data!E133</f>
        <v>0</v>
      </c>
      <c r="I368" s="95"/>
      <c r="J368" s="4"/>
    </row>
    <row r="369" spans="1:10" s="19" customFormat="1" ht="17" customHeight="1" x14ac:dyDescent="0.2">
      <c r="A369" s="7"/>
      <c r="B369" s="26" t="str">
        <f>T(Data!A133)</f>
        <v>Capital Lease</v>
      </c>
      <c r="C369" s="6"/>
      <c r="D369" s="269">
        <f>Data!C134</f>
        <v>0</v>
      </c>
      <c r="E369" s="95"/>
      <c r="F369" s="269">
        <f>Data!D134</f>
        <v>0</v>
      </c>
      <c r="G369" s="95"/>
      <c r="H369" s="269">
        <f>Data!E134</f>
        <v>0</v>
      </c>
      <c r="I369" s="95"/>
      <c r="J369" s="4"/>
    </row>
    <row r="370" spans="1:10" s="19" customFormat="1" ht="17" customHeight="1" x14ac:dyDescent="0.2">
      <c r="A370" s="7"/>
      <c r="B370" s="26" t="str">
        <f>T(Data!A134)</f>
        <v>Capital Lease</v>
      </c>
      <c r="C370" s="6"/>
      <c r="D370" s="269">
        <f>Data!C135</f>
        <v>0</v>
      </c>
      <c r="E370" s="95"/>
      <c r="F370" s="269">
        <f>Data!D135</f>
        <v>0</v>
      </c>
      <c r="G370" s="95"/>
      <c r="H370" s="269">
        <f>Data!E135</f>
        <v>0</v>
      </c>
      <c r="I370" s="95"/>
      <c r="J370" s="4"/>
    </row>
    <row r="371" spans="1:10" s="19" customFormat="1" ht="17" customHeight="1" x14ac:dyDescent="0.2">
      <c r="A371" s="7"/>
      <c r="B371" s="26" t="str">
        <f>T(Data!A135)</f>
        <v>Capital Lease</v>
      </c>
      <c r="C371" s="6"/>
      <c r="D371" s="269">
        <f>Data!C136</f>
        <v>0</v>
      </c>
      <c r="E371" s="95"/>
      <c r="F371" s="269">
        <f>Data!D136</f>
        <v>0</v>
      </c>
      <c r="G371" s="95"/>
      <c r="H371" s="269">
        <f>Data!E136</f>
        <v>0</v>
      </c>
      <c r="I371" s="95"/>
      <c r="J371" s="4"/>
    </row>
    <row r="372" spans="1:10" s="19" customFormat="1" ht="17" customHeight="1" x14ac:dyDescent="0.2">
      <c r="A372" s="7"/>
      <c r="B372" s="26" t="str">
        <f>T(Data!A136)</f>
        <v>Inter-Agency Borrowing</v>
      </c>
      <c r="C372" s="6"/>
      <c r="D372" s="269">
        <f>Data!C137</f>
        <v>0</v>
      </c>
      <c r="E372" s="95"/>
      <c r="F372" s="269">
        <f>Data!D137</f>
        <v>0</v>
      </c>
      <c r="G372" s="95"/>
      <c r="H372" s="269">
        <f>Data!E137</f>
        <v>0</v>
      </c>
      <c r="I372" s="95"/>
      <c r="J372" s="4"/>
    </row>
    <row r="373" spans="1:10" s="19" customFormat="1" ht="17" customHeight="1" thickBot="1" x14ac:dyDescent="0.25">
      <c r="A373" s="7"/>
      <c r="B373" s="26" t="s">
        <v>160</v>
      </c>
      <c r="C373" s="6"/>
      <c r="D373" s="272">
        <f t="shared" ref="D373:I373" si="28">SUM(D362:D372)</f>
        <v>0</v>
      </c>
      <c r="E373" s="273">
        <f t="shared" si="28"/>
        <v>0</v>
      </c>
      <c r="F373" s="273">
        <f t="shared" si="28"/>
        <v>0</v>
      </c>
      <c r="G373" s="273">
        <f t="shared" si="28"/>
        <v>0</v>
      </c>
      <c r="H373" s="273">
        <f t="shared" si="28"/>
        <v>0</v>
      </c>
      <c r="I373" s="274">
        <f t="shared" si="28"/>
        <v>0</v>
      </c>
      <c r="J373" s="4"/>
    </row>
    <row r="374" spans="1:10" s="46" customFormat="1" ht="17" customHeight="1" thickTop="1" x14ac:dyDescent="0.2">
      <c r="A374" s="9"/>
      <c r="B374" s="275" t="s">
        <v>198</v>
      </c>
      <c r="C374" s="9"/>
      <c r="D374" s="276"/>
      <c r="E374" s="276">
        <f>E373-D373</f>
        <v>0</v>
      </c>
      <c r="F374" s="276"/>
      <c r="G374" s="276">
        <f>G373-F373</f>
        <v>0</v>
      </c>
      <c r="H374" s="276"/>
      <c r="I374" s="276">
        <f>I373-H373</f>
        <v>0</v>
      </c>
    </row>
    <row r="375" spans="1:10" s="19" customFormat="1" ht="17" customHeight="1" x14ac:dyDescent="0.2">
      <c r="A375" s="7"/>
      <c r="B375" s="26"/>
      <c r="C375" s="6"/>
      <c r="D375" s="220"/>
      <c r="E375" s="220"/>
      <c r="F375" s="220"/>
      <c r="G375" s="220"/>
      <c r="H375" s="220"/>
      <c r="I375" s="220"/>
      <c r="J375" s="4"/>
    </row>
    <row r="376" spans="1:10" s="19" customFormat="1" ht="17" customHeight="1" x14ac:dyDescent="0.2">
      <c r="A376" s="7"/>
      <c r="B376" s="26" t="s">
        <v>197</v>
      </c>
      <c r="C376" s="6"/>
      <c r="D376" s="220"/>
      <c r="E376" s="220">
        <f>Data!C103+Data!C114</f>
        <v>0</v>
      </c>
      <c r="F376" s="220"/>
      <c r="G376" s="220">
        <f>Data!D103+Data!D114</f>
        <v>0</v>
      </c>
      <c r="H376" s="220"/>
      <c r="I376" s="220">
        <f>Data!E103+Data!E114</f>
        <v>0</v>
      </c>
      <c r="J376" s="4"/>
    </row>
    <row r="377" spans="1:10" s="46" customFormat="1" ht="16" x14ac:dyDescent="0.2">
      <c r="A377" s="9"/>
      <c r="B377" s="275" t="s">
        <v>199</v>
      </c>
      <c r="C377" s="9"/>
      <c r="D377" s="276"/>
      <c r="E377" s="276">
        <f>E376-E374</f>
        <v>0</v>
      </c>
      <c r="F377" s="276"/>
      <c r="G377" s="276">
        <f>G376-G374</f>
        <v>0</v>
      </c>
      <c r="H377" s="276"/>
      <c r="I377" s="276">
        <f>I376-I374</f>
        <v>0</v>
      </c>
    </row>
    <row r="378" spans="1:10" s="19" customFormat="1" ht="17" customHeight="1" thickBot="1" x14ac:dyDescent="0.25">
      <c r="A378" s="7"/>
      <c r="B378" s="26"/>
      <c r="C378" s="6"/>
      <c r="D378" s="220"/>
      <c r="E378" s="220"/>
      <c r="F378" s="220"/>
      <c r="G378" s="220"/>
      <c r="H378" s="220"/>
      <c r="I378" s="220"/>
      <c r="J378" s="4"/>
    </row>
    <row r="379" spans="1:10" s="4" customFormat="1" ht="17" customHeight="1" thickBot="1" x14ac:dyDescent="0.2">
      <c r="B379" s="562" t="s">
        <v>60</v>
      </c>
      <c r="C379" s="563"/>
      <c r="D379" s="563"/>
      <c r="E379" s="563"/>
      <c r="F379" s="563"/>
      <c r="G379" s="563"/>
      <c r="H379" s="563"/>
      <c r="I379" s="564"/>
    </row>
    <row r="380" spans="1:10" s="4" customFormat="1" ht="53.25" customHeight="1" x14ac:dyDescent="0.15">
      <c r="B380" s="559"/>
      <c r="C380" s="560"/>
      <c r="D380" s="560"/>
      <c r="E380" s="560"/>
      <c r="F380" s="560"/>
      <c r="G380" s="560"/>
      <c r="H380" s="560"/>
      <c r="I380" s="561"/>
    </row>
    <row r="381" spans="1:10" s="4" customFormat="1" ht="17" customHeight="1" x14ac:dyDescent="0.2">
      <c r="B381" s="9"/>
      <c r="E381" s="209"/>
      <c r="F381" s="209"/>
      <c r="G381" s="5"/>
      <c r="H381" s="5"/>
      <c r="I381" s="5"/>
      <c r="J381" s="2"/>
    </row>
    <row r="382" spans="1:10" s="53" customFormat="1" ht="19.5" customHeight="1" x14ac:dyDescent="0.15">
      <c r="A382" s="49" t="s">
        <v>90</v>
      </c>
      <c r="B382" s="50"/>
      <c r="C382" s="50"/>
      <c r="D382" s="51"/>
      <c r="E382" s="51"/>
      <c r="F382" s="52"/>
      <c r="G382" s="50"/>
      <c r="H382" s="50"/>
      <c r="I382" s="50"/>
      <c r="J382" s="50"/>
    </row>
    <row r="383" spans="1:10" s="53" customFormat="1" ht="8.25" customHeight="1" x14ac:dyDescent="0.15">
      <c r="A383" s="59"/>
      <c r="D383" s="101"/>
      <c r="E383" s="101"/>
      <c r="F383" s="102"/>
    </row>
    <row r="384" spans="1:10" s="53" customFormat="1" ht="19.5" customHeight="1" x14ac:dyDescent="0.15">
      <c r="A384" s="59"/>
      <c r="D384" s="277" t="str">
        <f>D360</f>
        <v>2022-23</v>
      </c>
      <c r="E384" s="277" t="str">
        <f>F360</f>
        <v>2023-24</v>
      </c>
      <c r="F384" s="277"/>
      <c r="H384" s="277"/>
      <c r="J384" s="277"/>
    </row>
    <row r="385" spans="1:10" ht="46" x14ac:dyDescent="0.2">
      <c r="A385" s="11"/>
      <c r="B385" s="278" t="s">
        <v>91</v>
      </c>
      <c r="C385" s="279">
        <f>Data!C140</f>
        <v>11002828</v>
      </c>
      <c r="D385" s="268" t="s">
        <v>92</v>
      </c>
      <c r="E385" s="268" t="s">
        <v>92</v>
      </c>
      <c r="F385" s="23"/>
      <c r="G385" s="1"/>
      <c r="H385" s="268"/>
      <c r="I385" s="1"/>
      <c r="J385" s="23"/>
    </row>
    <row r="386" spans="1:10" ht="17" customHeight="1" x14ac:dyDescent="0.2">
      <c r="A386" s="11"/>
      <c r="B386" s="280"/>
      <c r="C386" s="280" t="s">
        <v>93</v>
      </c>
      <c r="D386" s="281">
        <f>Data!C141</f>
        <v>16301936</v>
      </c>
      <c r="E386" s="281">
        <f>Data!D141</f>
        <v>15031546.694307769</v>
      </c>
      <c r="F386" s="282"/>
      <c r="G386" s="1"/>
      <c r="H386" s="11"/>
      <c r="I386" s="1"/>
      <c r="J386" s="282"/>
    </row>
    <row r="387" spans="1:10" ht="17" customHeight="1" x14ac:dyDescent="0.2">
      <c r="A387" s="11"/>
      <c r="B387" s="23"/>
      <c r="C387" s="23" t="s">
        <v>94</v>
      </c>
      <c r="D387" s="281">
        <f>Data!C142</f>
        <v>15368447</v>
      </c>
      <c r="E387" s="281">
        <f>Data!D142</f>
        <v>14330875.443072656</v>
      </c>
      <c r="F387" s="282"/>
      <c r="G387" s="1"/>
      <c r="H387" s="11"/>
      <c r="I387" s="1"/>
      <c r="J387" s="282"/>
    </row>
    <row r="388" spans="1:10" ht="17" customHeight="1" x14ac:dyDescent="0.2">
      <c r="A388" s="11"/>
      <c r="B388" s="23"/>
      <c r="C388" s="23" t="s">
        <v>95</v>
      </c>
      <c r="D388" s="281">
        <f>Data!C143</f>
        <v>14117933</v>
      </c>
      <c r="E388" s="281">
        <f>Data!D143</f>
        <v>13800885.967885543</v>
      </c>
      <c r="F388" s="282"/>
      <c r="G388" s="1"/>
      <c r="H388" s="11"/>
      <c r="I388" s="1"/>
      <c r="J388" s="282"/>
    </row>
    <row r="389" spans="1:10" ht="17" customHeight="1" x14ac:dyDescent="0.2">
      <c r="A389" s="11"/>
      <c r="B389" s="23"/>
      <c r="C389" s="23" t="s">
        <v>96</v>
      </c>
      <c r="D389" s="281">
        <f>Data!C144</f>
        <v>14808236</v>
      </c>
      <c r="E389" s="281">
        <f>Data!D144</f>
        <v>14333852.24282393</v>
      </c>
      <c r="F389" s="282"/>
      <c r="G389" s="1"/>
      <c r="H389" s="11"/>
      <c r="I389" s="1"/>
      <c r="J389" s="282"/>
    </row>
    <row r="390" spans="1:10" ht="17" customHeight="1" x14ac:dyDescent="0.2">
      <c r="A390" s="11"/>
      <c r="B390" s="23"/>
      <c r="C390" s="23" t="s">
        <v>97</v>
      </c>
      <c r="D390" s="281">
        <f>Data!C145</f>
        <v>15252988</v>
      </c>
      <c r="E390" s="281">
        <f>Data!D145</f>
        <v>14770466.116636818</v>
      </c>
      <c r="F390" s="282"/>
      <c r="G390" s="1"/>
      <c r="H390" s="11"/>
      <c r="I390" s="1"/>
      <c r="J390" s="282"/>
    </row>
    <row r="391" spans="1:10" ht="17" customHeight="1" x14ac:dyDescent="0.2">
      <c r="A391" s="11"/>
      <c r="B391" s="23"/>
      <c r="C391" s="23" t="s">
        <v>98</v>
      </c>
      <c r="D391" s="281">
        <f>Data!C146</f>
        <v>15683686</v>
      </c>
      <c r="E391" s="281">
        <f>Data!D146</f>
        <v>15412543.025449706</v>
      </c>
      <c r="F391" s="282"/>
      <c r="G391" s="1"/>
      <c r="H391" s="11"/>
      <c r="I391" s="1"/>
      <c r="J391" s="282"/>
    </row>
    <row r="392" spans="1:10" ht="17" customHeight="1" x14ac:dyDescent="0.2">
      <c r="A392" s="11"/>
      <c r="B392" s="23"/>
      <c r="C392" s="23" t="s">
        <v>99</v>
      </c>
      <c r="D392" s="281">
        <f>Data!C147</f>
        <v>17340976</v>
      </c>
      <c r="E392" s="281">
        <f>Data!D147</f>
        <v>15484044.284909923</v>
      </c>
      <c r="F392" s="282"/>
      <c r="G392" s="1"/>
      <c r="H392" s="11"/>
      <c r="I392" s="1"/>
      <c r="J392" s="282"/>
    </row>
    <row r="393" spans="1:10" ht="17" customHeight="1" x14ac:dyDescent="0.2">
      <c r="A393" s="11"/>
      <c r="B393" s="23"/>
      <c r="C393" s="23" t="s">
        <v>100</v>
      </c>
      <c r="D393" s="281">
        <f>Data!C148</f>
        <v>17268892.057142857</v>
      </c>
      <c r="E393" s="281">
        <f>Data!D148</f>
        <v>15870426.835624591</v>
      </c>
      <c r="F393" s="282"/>
      <c r="G393" s="1"/>
      <c r="H393" s="11"/>
      <c r="I393" s="1"/>
      <c r="J393" s="282"/>
    </row>
    <row r="394" spans="1:10" ht="17" customHeight="1" x14ac:dyDescent="0.2">
      <c r="A394" s="11"/>
      <c r="B394" s="23"/>
      <c r="C394" s="23" t="s">
        <v>101</v>
      </c>
      <c r="D394" s="281">
        <f>Data!C149</f>
        <v>17461290.114285715</v>
      </c>
      <c r="E394" s="281">
        <f>Data!D149</f>
        <v>16462272.421339259</v>
      </c>
      <c r="F394" s="282"/>
      <c r="G394" s="1"/>
      <c r="H394" s="11"/>
      <c r="I394" s="1"/>
      <c r="J394" s="282"/>
    </row>
    <row r="395" spans="1:10" ht="17" customHeight="1" x14ac:dyDescent="0.2">
      <c r="A395" s="11"/>
      <c r="B395" s="23"/>
      <c r="C395" s="23" t="s">
        <v>102</v>
      </c>
      <c r="D395" s="281">
        <f>Data!C150</f>
        <v>17751873.171428572</v>
      </c>
      <c r="E395" s="281">
        <f>Data!D150</f>
        <v>16982981.554799475</v>
      </c>
      <c r="F395" s="282"/>
      <c r="G395" s="1"/>
      <c r="H395" s="11"/>
      <c r="I395" s="1"/>
      <c r="J395" s="282"/>
    </row>
    <row r="396" spans="1:10" ht="17" customHeight="1" x14ac:dyDescent="0.2">
      <c r="A396" s="11"/>
      <c r="B396" s="23"/>
      <c r="C396" s="23" t="s">
        <v>103</v>
      </c>
      <c r="D396" s="281">
        <f>Data!C151</f>
        <v>17742456.22857143</v>
      </c>
      <c r="E396" s="281">
        <f>Data!D151</f>
        <v>17369364.105514143</v>
      </c>
      <c r="F396" s="282"/>
      <c r="G396" s="1"/>
      <c r="H396" s="11"/>
      <c r="I396" s="1"/>
      <c r="J396" s="282"/>
    </row>
    <row r="397" spans="1:10" ht="17" customHeight="1" x14ac:dyDescent="0.2">
      <c r="A397" s="11"/>
      <c r="B397" s="23"/>
      <c r="C397" s="23" t="s">
        <v>104</v>
      </c>
      <c r="D397" s="281">
        <f>Data!C152</f>
        <v>19191617.785714287</v>
      </c>
      <c r="E397" s="281">
        <f>Data!D152</f>
        <v>18334583.656228811</v>
      </c>
      <c r="F397" s="282"/>
      <c r="G397" s="1"/>
      <c r="H397" s="11"/>
      <c r="I397" s="1"/>
      <c r="J397" s="282"/>
    </row>
    <row r="398" spans="1:10" ht="17" customHeight="1" x14ac:dyDescent="0.2">
      <c r="A398" s="11"/>
      <c r="B398" s="11"/>
      <c r="C398" s="11"/>
      <c r="D398" s="11"/>
      <c r="E398" s="11"/>
      <c r="F398" s="11"/>
      <c r="G398" s="11"/>
      <c r="H398" s="23"/>
      <c r="I398" s="11"/>
    </row>
    <row r="399" spans="1:10" ht="7.5" customHeight="1" thickBot="1" x14ac:dyDescent="0.25">
      <c r="A399" s="11"/>
      <c r="B399" s="11"/>
      <c r="C399" s="11"/>
      <c r="D399" s="11"/>
      <c r="E399" s="11"/>
      <c r="F399" s="11"/>
      <c r="G399" s="11"/>
      <c r="H399" s="23"/>
      <c r="I399" s="11"/>
    </row>
    <row r="400" spans="1:10" ht="16.5" customHeight="1" thickBot="1" x14ac:dyDescent="0.25">
      <c r="A400" s="11"/>
      <c r="B400" s="502" t="s">
        <v>256</v>
      </c>
      <c r="C400" s="503"/>
      <c r="D400" s="503"/>
      <c r="E400" s="503"/>
      <c r="F400" s="503"/>
      <c r="G400" s="503"/>
      <c r="H400" s="503"/>
      <c r="I400" s="504"/>
    </row>
    <row r="401" spans="1:10" ht="52.5" customHeight="1" x14ac:dyDescent="0.2">
      <c r="A401" s="11"/>
      <c r="B401" s="556" t="s">
        <v>115</v>
      </c>
      <c r="C401" s="557"/>
      <c r="D401" s="557"/>
      <c r="E401" s="557"/>
      <c r="F401" s="557"/>
      <c r="G401" s="557"/>
      <c r="H401" s="557"/>
      <c r="I401" s="558"/>
    </row>
    <row r="402" spans="1:10" ht="17" customHeight="1" thickBot="1" x14ac:dyDescent="0.25">
      <c r="A402" s="11"/>
      <c r="B402" s="11"/>
      <c r="C402" s="11"/>
      <c r="D402" s="11"/>
      <c r="E402" s="11"/>
      <c r="F402" s="11"/>
      <c r="G402" s="11"/>
      <c r="H402" s="23"/>
      <c r="I402" s="11"/>
    </row>
    <row r="403" spans="1:10" ht="17" customHeight="1" thickBot="1" x14ac:dyDescent="0.25">
      <c r="A403" s="565" t="s">
        <v>217</v>
      </c>
      <c r="B403" s="566"/>
      <c r="C403" s="566"/>
      <c r="D403" s="566"/>
      <c r="E403" s="566"/>
      <c r="F403" s="566"/>
      <c r="G403" s="566"/>
      <c r="H403" s="566"/>
      <c r="I403" s="567"/>
    </row>
    <row r="404" spans="1:10" ht="17" customHeight="1" x14ac:dyDescent="0.2">
      <c r="A404" s="11"/>
      <c r="B404" s="11"/>
      <c r="C404" s="11"/>
      <c r="D404" s="11"/>
      <c r="E404" s="25"/>
      <c r="F404" s="23"/>
      <c r="G404" s="11"/>
    </row>
    <row r="405" spans="1:10" ht="17" customHeight="1" x14ac:dyDescent="0.2">
      <c r="B405" s="20" t="s">
        <v>200</v>
      </c>
      <c r="C405" s="11"/>
      <c r="D405" s="11"/>
      <c r="E405" s="17" t="s">
        <v>105</v>
      </c>
      <c r="F405" s="23"/>
      <c r="G405" s="11"/>
      <c r="J405" s="4"/>
    </row>
    <row r="406" spans="1:10" s="4" customFormat="1" ht="17" customHeight="1" x14ac:dyDescent="0.15">
      <c r="A406" s="283"/>
      <c r="B406" s="535"/>
      <c r="C406" s="536"/>
      <c r="D406" s="537"/>
      <c r="E406" s="532"/>
      <c r="F406" s="533"/>
      <c r="G406" s="533"/>
      <c r="H406" s="533"/>
      <c r="I406" s="534"/>
    </row>
    <row r="407" spans="1:10" s="4" customFormat="1" ht="17" customHeight="1" x14ac:dyDescent="0.15">
      <c r="A407" s="283"/>
      <c r="B407" s="535"/>
      <c r="C407" s="536"/>
      <c r="D407" s="537"/>
      <c r="E407" s="532"/>
      <c r="F407" s="533"/>
      <c r="G407" s="533"/>
      <c r="H407" s="533"/>
      <c r="I407" s="534"/>
    </row>
    <row r="408" spans="1:10" s="4" customFormat="1" ht="17" customHeight="1" x14ac:dyDescent="0.15">
      <c r="A408" s="283"/>
      <c r="B408" s="535"/>
      <c r="C408" s="536"/>
      <c r="D408" s="537"/>
      <c r="E408" s="532"/>
      <c r="F408" s="533"/>
      <c r="G408" s="533"/>
      <c r="H408" s="533"/>
      <c r="I408" s="534"/>
    </row>
    <row r="409" spans="1:10" s="4" customFormat="1" ht="17" customHeight="1" x14ac:dyDescent="0.15">
      <c r="A409" s="283"/>
      <c r="B409" s="535"/>
      <c r="C409" s="536"/>
      <c r="D409" s="537"/>
      <c r="E409" s="532"/>
      <c r="F409" s="533"/>
      <c r="G409" s="533"/>
      <c r="H409" s="533"/>
      <c r="I409" s="534"/>
    </row>
    <row r="410" spans="1:10" s="4" customFormat="1" ht="17" customHeight="1" x14ac:dyDescent="0.15">
      <c r="A410" s="283"/>
      <c r="B410" s="535"/>
      <c r="C410" s="536"/>
      <c r="D410" s="537"/>
      <c r="E410" s="532"/>
      <c r="F410" s="533"/>
      <c r="G410" s="533"/>
      <c r="H410" s="533"/>
      <c r="I410" s="534"/>
    </row>
    <row r="411" spans="1:10" s="4" customFormat="1" ht="17" customHeight="1" x14ac:dyDescent="0.15">
      <c r="A411" s="283"/>
      <c r="B411" s="535"/>
      <c r="C411" s="536"/>
      <c r="D411" s="537"/>
      <c r="E411" s="532"/>
      <c r="F411" s="533"/>
      <c r="G411" s="533"/>
      <c r="H411" s="533"/>
      <c r="I411" s="534"/>
    </row>
    <row r="412" spans="1:10" s="4" customFormat="1" ht="17" customHeight="1" x14ac:dyDescent="0.15">
      <c r="A412" s="17"/>
      <c r="B412" s="25"/>
      <c r="C412" s="11"/>
      <c r="D412" s="11"/>
      <c r="E412" s="284"/>
      <c r="F412" s="284"/>
      <c r="G412" s="11"/>
      <c r="H412" s="8"/>
      <c r="I412" s="5"/>
    </row>
    <row r="413" spans="1:10" s="4" customFormat="1" ht="17" customHeight="1" x14ac:dyDescent="0.15">
      <c r="B413" s="20" t="s">
        <v>106</v>
      </c>
      <c r="C413" s="11"/>
      <c r="D413" s="11"/>
      <c r="E413" s="11"/>
      <c r="F413" s="183"/>
      <c r="G413" s="11"/>
      <c r="H413" s="5"/>
      <c r="I413" s="5"/>
    </row>
    <row r="414" spans="1:10" s="4" customFormat="1" ht="17" customHeight="1" x14ac:dyDescent="0.15">
      <c r="B414" s="551"/>
      <c r="C414" s="552"/>
      <c r="D414" s="552"/>
      <c r="E414" s="552"/>
      <c r="F414" s="552"/>
      <c r="G414" s="552"/>
      <c r="H414" s="552"/>
      <c r="I414" s="553"/>
    </row>
    <row r="415" spans="1:10" s="4" customFormat="1" ht="17" customHeight="1" x14ac:dyDescent="0.15">
      <c r="B415" s="551"/>
      <c r="C415" s="552"/>
      <c r="D415" s="552"/>
      <c r="E415" s="552"/>
      <c r="F415" s="552"/>
      <c r="G415" s="552"/>
      <c r="H415" s="552"/>
      <c r="I415" s="553"/>
    </row>
    <row r="416" spans="1:10" s="4" customFormat="1" ht="17" customHeight="1" x14ac:dyDescent="0.15">
      <c r="B416" s="551"/>
      <c r="C416" s="552"/>
      <c r="D416" s="552"/>
      <c r="E416" s="552"/>
      <c r="F416" s="552"/>
      <c r="G416" s="552"/>
      <c r="H416" s="552"/>
      <c r="I416" s="553"/>
    </row>
    <row r="417" spans="1:10" s="4" customFormat="1" ht="17" customHeight="1" x14ac:dyDescent="0.15">
      <c r="B417" s="551"/>
      <c r="C417" s="552"/>
      <c r="D417" s="552"/>
      <c r="E417" s="552"/>
      <c r="F417" s="552"/>
      <c r="G417" s="552"/>
      <c r="H417" s="552"/>
      <c r="I417" s="553"/>
    </row>
    <row r="418" spans="1:10" s="4" customFormat="1" ht="17" customHeight="1" x14ac:dyDescent="0.15">
      <c r="B418" s="551"/>
      <c r="C418" s="552"/>
      <c r="D418" s="552"/>
      <c r="E418" s="552"/>
      <c r="F418" s="552"/>
      <c r="G418" s="552"/>
      <c r="H418" s="552"/>
      <c r="I418" s="553"/>
    </row>
    <row r="419" spans="1:10" s="4" customFormat="1" ht="17" customHeight="1" x14ac:dyDescent="0.15">
      <c r="B419" s="551"/>
      <c r="C419" s="552"/>
      <c r="D419" s="552"/>
      <c r="E419" s="552"/>
      <c r="F419" s="552"/>
      <c r="G419" s="552"/>
      <c r="H419" s="552"/>
      <c r="I419" s="553"/>
    </row>
    <row r="420" spans="1:10" s="4" customFormat="1" ht="17" customHeight="1" x14ac:dyDescent="0.15">
      <c r="B420" s="551"/>
      <c r="C420" s="552"/>
      <c r="D420" s="552"/>
      <c r="E420" s="552"/>
      <c r="F420" s="552"/>
      <c r="G420" s="552"/>
      <c r="H420" s="552"/>
      <c r="I420" s="553"/>
    </row>
    <row r="421" spans="1:10" s="4" customFormat="1" ht="17" customHeight="1" x14ac:dyDescent="0.2">
      <c r="A421" s="146"/>
      <c r="C421" s="146"/>
      <c r="E421" s="146"/>
      <c r="H421" s="5"/>
      <c r="I421" s="5"/>
      <c r="J421" s="1"/>
    </row>
    <row r="422" spans="1:10" ht="17" customHeight="1" x14ac:dyDescent="0.2">
      <c r="A422" s="1">
        <v>9</v>
      </c>
    </row>
  </sheetData>
  <sheetProtection algorithmName="SHA-512" hashValue="BAktvQREb1aS9QRK96EZmWOKUpCgNV8Wy4QKQT1Nu10OWlzLXwJmac6cEBkJKvnc0hAx2x04n5fcbjSg8h6+4g==" saltValue="/RaUib6fgzyYENrCNOvCag==" spinCount="100000" sheet="1" objects="1" scenarios="1"/>
  <mergeCells count="158"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H256:I256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F299:G299"/>
    <mergeCell ref="B155:D155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 D106">
    <cfRule type="expression" dxfId="41" priority="49">
      <formula>_xlfn.SINGLE(ROUND($D$106,0))&lt;&gt;_xlfn.SINGLE(ROUND($G$105,0))</formula>
    </cfRule>
  </conditionalFormatting>
  <conditionalFormatting sqref="G104 D105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1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1ABDFF-259F-44DA-8CA1-F2E61EED1B02}">
          <x14:formula1>
            <xm:f>'Drop Down Lists'!$A$2:$A$4</xm:f>
          </x14:formula1>
          <xm:sqref>I17:J17</xm:sqref>
        </x14:dataValidation>
        <x14:dataValidation type="list" allowBlank="1" showInputMessage="1" showErrorMessage="1" xr:uid="{43312227-20FD-4CBB-BA78-979112FD11E7}">
          <x14:formula1>
            <xm:f>'Drop Down Lists'!$A$1:$A$4</xm:f>
          </x14:formula1>
          <xm:sqref>C17:H17</xm:sqref>
        </x14:dataValidation>
        <x14:dataValidation type="list" allowBlank="1" showInputMessage="1" showErrorMessage="1" xr:uid="{DDCBD87A-44EB-4B2A-A87C-CC8848953159}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I62"/>
  <sheetViews>
    <sheetView workbookViewId="0"/>
  </sheetViews>
  <sheetFormatPr baseColWidth="10" defaultColWidth="8.83203125" defaultRowHeight="13" x14ac:dyDescent="0.15"/>
  <cols>
    <col min="1" max="1" width="7.5" bestFit="1" customWidth="1"/>
    <col min="2" max="2" width="11.6640625" bestFit="1" customWidth="1"/>
    <col min="3" max="3" width="30.6640625" bestFit="1" customWidth="1"/>
    <col min="4" max="5" width="9.6640625" bestFit="1" customWidth="1"/>
    <col min="6" max="6" width="10.6640625" bestFit="1" customWidth="1"/>
    <col min="7" max="7" width="12.6640625" bestFit="1" customWidth="1"/>
    <col min="8" max="8" width="14.5" bestFit="1" customWidth="1"/>
    <col min="9" max="9" width="13.33203125" bestFit="1" customWidth="1"/>
  </cols>
  <sheetData>
    <row r="2" spans="1:3" x14ac:dyDescent="0.15">
      <c r="B2" s="124" t="s">
        <v>27</v>
      </c>
      <c r="C2" s="124" t="s">
        <v>26</v>
      </c>
    </row>
    <row r="3" spans="1:3" x14ac:dyDescent="0.15">
      <c r="A3" t="str">
        <f>Review!B46</f>
        <v>2018-19</v>
      </c>
      <c r="B3" s="58">
        <f>Review!F46</f>
        <v>1710</v>
      </c>
      <c r="C3" s="58">
        <f>Review!C46</f>
        <v>1724.8</v>
      </c>
    </row>
    <row r="4" spans="1:3" x14ac:dyDescent="0.15">
      <c r="A4" t="str">
        <f>Review!B47</f>
        <v>2019-20</v>
      </c>
      <c r="B4" s="58">
        <f>Review!F47</f>
        <v>1781</v>
      </c>
      <c r="C4" s="58">
        <f>Review!C47</f>
        <v>1806.01</v>
      </c>
    </row>
    <row r="5" spans="1:3" x14ac:dyDescent="0.15">
      <c r="A5" t="str">
        <f>Review!B48</f>
        <v>2020-21</v>
      </c>
      <c r="B5" s="58">
        <f>Review!F48</f>
        <v>2185</v>
      </c>
      <c r="C5" s="58">
        <f>Review!C48</f>
        <v>1806.01</v>
      </c>
    </row>
    <row r="6" spans="1:3" x14ac:dyDescent="0.15">
      <c r="A6" t="str">
        <f>Review!B49</f>
        <v>2021-22</v>
      </c>
      <c r="B6" s="58">
        <f>Review!F49</f>
        <v>2155</v>
      </c>
      <c r="C6" s="58">
        <f>Review!C49</f>
        <v>2118.83</v>
      </c>
    </row>
    <row r="7" spans="1:3" x14ac:dyDescent="0.15">
      <c r="A7" t="str">
        <f>Review!B50</f>
        <v>2022-23</v>
      </c>
      <c r="B7" s="58">
        <f>Review!F50</f>
        <v>2166</v>
      </c>
      <c r="C7" s="58">
        <f>Review!C50</f>
        <v>2170.6099999999997</v>
      </c>
    </row>
    <row r="8" spans="1:3" x14ac:dyDescent="0.15">
      <c r="A8" t="str">
        <f>Review!B51</f>
        <v>2023-24</v>
      </c>
      <c r="B8" s="58">
        <f>Review!F51</f>
        <v>2166</v>
      </c>
      <c r="C8" s="58">
        <f>Review!C51</f>
        <v>2170.6099999999997</v>
      </c>
    </row>
    <row r="9" spans="1:3" x14ac:dyDescent="0.15">
      <c r="A9" t="str">
        <f>Review!B52</f>
        <v>2024-25</v>
      </c>
      <c r="B9" s="58">
        <f>Review!F52</f>
        <v>2166</v>
      </c>
      <c r="C9" s="58">
        <f>Review!C52</f>
        <v>2170.6099999999997</v>
      </c>
    </row>
    <row r="22" spans="1:9" x14ac:dyDescent="0.15">
      <c r="C22" s="124" t="s">
        <v>43</v>
      </c>
    </row>
    <row r="23" spans="1:9" x14ac:dyDescent="0.15">
      <c r="B23" s="126" t="s">
        <v>119</v>
      </c>
      <c r="C23" s="125" t="s">
        <v>44</v>
      </c>
      <c r="D23" s="125" t="s">
        <v>45</v>
      </c>
      <c r="E23" s="125" t="s">
        <v>46</v>
      </c>
      <c r="F23" s="125" t="s">
        <v>47</v>
      </c>
      <c r="G23" s="125" t="s">
        <v>48</v>
      </c>
      <c r="H23" s="125"/>
      <c r="I23" s="125" t="s">
        <v>49</v>
      </c>
    </row>
    <row r="24" spans="1:9" s="124" customFormat="1" x14ac:dyDescent="0.15">
      <c r="B24" s="124" t="s">
        <v>50</v>
      </c>
      <c r="C24" s="124" t="s">
        <v>51</v>
      </c>
      <c r="D24" s="124" t="s">
        <v>52</v>
      </c>
      <c r="E24" s="124" t="s">
        <v>53</v>
      </c>
      <c r="F24" s="124" t="s">
        <v>54</v>
      </c>
      <c r="G24" s="124" t="s">
        <v>55</v>
      </c>
      <c r="H24" s="124" t="s">
        <v>56</v>
      </c>
      <c r="I24" s="124" t="s">
        <v>57</v>
      </c>
    </row>
    <row r="25" spans="1:9" x14ac:dyDescent="0.15">
      <c r="A25" t="str">
        <f>Review!B104</f>
        <v>2019-20</v>
      </c>
      <c r="B25" s="123"/>
      <c r="C25" s="86">
        <f>Review!D104</f>
        <v>6964795</v>
      </c>
      <c r="D25" s="86">
        <f>Review!E104</f>
        <v>18418916</v>
      </c>
      <c r="E25" s="86">
        <f>Review!F104</f>
        <v>16553587</v>
      </c>
      <c r="F25" s="86">
        <f>Review!G104</f>
        <v>8830124</v>
      </c>
      <c r="G25" s="86">
        <f>Review!H104</f>
        <v>1865329</v>
      </c>
      <c r="H25">
        <f>Review!I104</f>
        <v>0</v>
      </c>
      <c r="I25" t="str">
        <f>Review!J104</f>
        <v>no deficit</v>
      </c>
    </row>
    <row r="26" spans="1:9" x14ac:dyDescent="0.15">
      <c r="A26" t="str">
        <f>Review!B105</f>
        <v>2020-21</v>
      </c>
      <c r="B26" s="123"/>
      <c r="C26" s="86">
        <f>Review!D105</f>
        <v>8830124</v>
      </c>
      <c r="D26" s="86">
        <f>Review!E105</f>
        <v>20756502</v>
      </c>
      <c r="E26" s="86">
        <f>Review!F105</f>
        <v>18670857</v>
      </c>
      <c r="F26" s="86">
        <f>Review!G105</f>
        <v>10915769</v>
      </c>
      <c r="G26" s="86">
        <f>Review!H105</f>
        <v>2085645</v>
      </c>
      <c r="H26">
        <f>Review!I105</f>
        <v>0</v>
      </c>
      <c r="I26" t="str">
        <f>Review!J105</f>
        <v>no deficit</v>
      </c>
    </row>
    <row r="27" spans="1:9" x14ac:dyDescent="0.15">
      <c r="A27" t="str">
        <f>Review!B106</f>
        <v>2021-22</v>
      </c>
      <c r="B27" s="123"/>
      <c r="C27" s="86">
        <f>Review!D106</f>
        <v>10915769</v>
      </c>
      <c r="D27" s="86">
        <f>Review!E106</f>
        <v>26599946</v>
      </c>
      <c r="E27" s="86">
        <f>Review!F106</f>
        <v>22414095</v>
      </c>
      <c r="F27" s="86">
        <f>Review!G106</f>
        <v>15101620</v>
      </c>
      <c r="G27" s="86">
        <f>Review!H106</f>
        <v>4185851</v>
      </c>
      <c r="H27">
        <f>Review!I106</f>
        <v>0</v>
      </c>
      <c r="I27" t="str">
        <f>Review!J106</f>
        <v>no deficit</v>
      </c>
    </row>
    <row r="28" spans="1:9" x14ac:dyDescent="0.15">
      <c r="A28" t="str">
        <f>Review!B107</f>
        <v>2022-23</v>
      </c>
      <c r="B28" s="86">
        <f>Review!C107</f>
        <v>1382588</v>
      </c>
      <c r="C28" s="86">
        <f>Review!D107</f>
        <v>15101620</v>
      </c>
      <c r="D28" s="86">
        <f>Review!E107</f>
        <v>24484392.744502001</v>
      </c>
      <c r="E28" s="86">
        <f>Review!F107</f>
        <v>23062390</v>
      </c>
      <c r="F28" s="86">
        <f>Review!G107</f>
        <v>17906210.744502001</v>
      </c>
      <c r="G28" s="86">
        <f>Review!H107</f>
        <v>1422002.7445020005</v>
      </c>
      <c r="H28" t="str">
        <f>Review!I107</f>
        <v>No</v>
      </c>
      <c r="I28" t="str">
        <f>Review!J107</f>
        <v>no deficit</v>
      </c>
    </row>
    <row r="29" spans="1:9" x14ac:dyDescent="0.15">
      <c r="A29" t="str">
        <f>Review!B108</f>
        <v>2023-24</v>
      </c>
      <c r="B29" s="123"/>
      <c r="C29" s="86">
        <f>Review!D108</f>
        <v>17906211</v>
      </c>
      <c r="D29" s="86">
        <f>Review!E108</f>
        <v>26358721.999501999</v>
      </c>
      <c r="E29" s="86">
        <f>Review!F108</f>
        <v>26560742.32</v>
      </c>
      <c r="F29" s="86">
        <f>Review!G108</f>
        <v>17704190.679502003</v>
      </c>
      <c r="G29" s="86">
        <f>Review!H108</f>
        <v>-202020.32049800083</v>
      </c>
      <c r="H29" t="str">
        <f>Review!I108</f>
        <v>Yes</v>
      </c>
      <c r="I29">
        <f>Review!J108</f>
        <v>7.6059741879232548E-3</v>
      </c>
    </row>
    <row r="30" spans="1:9" x14ac:dyDescent="0.15">
      <c r="A30" t="str">
        <f>Review!B109</f>
        <v>2024-25</v>
      </c>
      <c r="B30" s="123"/>
      <c r="C30" s="86">
        <f>Review!D109</f>
        <v>17704191</v>
      </c>
      <c r="D30" s="86">
        <f>Review!E109</f>
        <v>27208004.025001999</v>
      </c>
      <c r="E30" s="86">
        <f>Review!F109</f>
        <v>28081039.277850002</v>
      </c>
      <c r="F30" s="86">
        <f>Review!G109</f>
        <v>16831155.747152001</v>
      </c>
      <c r="G30" s="86">
        <f>Review!H109</f>
        <v>-873035.25284800306</v>
      </c>
      <c r="H30" t="str">
        <f>Review!I109</f>
        <v>Yes</v>
      </c>
      <c r="I30">
        <f>Review!J109</f>
        <v>3.108984835673953E-2</v>
      </c>
    </row>
    <row r="38" spans="1:9" x14ac:dyDescent="0.15">
      <c r="C38" s="124" t="s">
        <v>58</v>
      </c>
    </row>
    <row r="39" spans="1:9" x14ac:dyDescent="0.15">
      <c r="B39" s="126" t="s">
        <v>119</v>
      </c>
      <c r="C39" s="125" t="s">
        <v>44</v>
      </c>
      <c r="D39" s="125" t="s">
        <v>45</v>
      </c>
      <c r="E39" s="125" t="s">
        <v>46</v>
      </c>
      <c r="F39" s="125" t="s">
        <v>47</v>
      </c>
      <c r="G39" s="125" t="s">
        <v>48</v>
      </c>
      <c r="H39" s="125"/>
      <c r="I39" s="125"/>
    </row>
    <row r="40" spans="1:9" s="124" customFormat="1" x14ac:dyDescent="0.15">
      <c r="B40" s="124" t="s">
        <v>50</v>
      </c>
      <c r="C40" s="124" t="s">
        <v>51</v>
      </c>
      <c r="D40" s="124" t="s">
        <v>52</v>
      </c>
      <c r="E40" s="124" t="s">
        <v>53</v>
      </c>
      <c r="F40" s="124" t="s">
        <v>54</v>
      </c>
      <c r="G40" s="124" t="s">
        <v>55</v>
      </c>
    </row>
    <row r="41" spans="1:9" x14ac:dyDescent="0.15">
      <c r="A41" t="str">
        <f>Review!B119</f>
        <v>2019-20</v>
      </c>
      <c r="B41" s="123"/>
      <c r="C41" s="86">
        <f>Review!D119</f>
        <v>0</v>
      </c>
      <c r="D41" s="86">
        <f>Review!E119</f>
        <v>0</v>
      </c>
      <c r="E41" s="86">
        <f>Review!F119</f>
        <v>0</v>
      </c>
      <c r="F41" s="86">
        <f>Review!G119</f>
        <v>0</v>
      </c>
      <c r="G41" s="86">
        <f>Review!H119</f>
        <v>0</v>
      </c>
    </row>
    <row r="42" spans="1:9" x14ac:dyDescent="0.15">
      <c r="A42" t="str">
        <f>Review!B120</f>
        <v>2020-21</v>
      </c>
      <c r="B42" s="123"/>
      <c r="C42" s="86">
        <f>Review!D120</f>
        <v>0</v>
      </c>
      <c r="D42" s="86">
        <f>Review!E120</f>
        <v>0</v>
      </c>
      <c r="E42" s="86">
        <f>Review!F120</f>
        <v>0</v>
      </c>
      <c r="F42" s="86">
        <f>Review!G120</f>
        <v>0</v>
      </c>
      <c r="G42" s="86">
        <f>Review!H120</f>
        <v>0</v>
      </c>
    </row>
    <row r="43" spans="1:9" x14ac:dyDescent="0.15">
      <c r="A43" t="str">
        <f>Review!B121</f>
        <v>2021-22</v>
      </c>
      <c r="B43" s="123"/>
      <c r="C43" s="86">
        <f>Review!D121</f>
        <v>0</v>
      </c>
      <c r="D43" s="86">
        <f>Review!E121</f>
        <v>0</v>
      </c>
      <c r="E43" s="86">
        <f>Review!F121</f>
        <v>0</v>
      </c>
      <c r="F43" s="86">
        <f>Review!G121</f>
        <v>0</v>
      </c>
      <c r="G43" s="86">
        <f>Review!H121</f>
        <v>0</v>
      </c>
    </row>
    <row r="44" spans="1:9" x14ac:dyDescent="0.15">
      <c r="A44" t="str">
        <f>Review!B122</f>
        <v>2022-23</v>
      </c>
      <c r="B44" s="86">
        <f>Review!C122</f>
        <v>0</v>
      </c>
      <c r="C44" s="86">
        <f>Review!D122</f>
        <v>0</v>
      </c>
      <c r="D44" s="86">
        <f>Review!E122</f>
        <v>6549535.7264802</v>
      </c>
      <c r="E44" s="86">
        <f>Review!F122</f>
        <v>5678196</v>
      </c>
      <c r="F44" s="86">
        <f>Review!G122</f>
        <v>871339.72648019996</v>
      </c>
      <c r="G44" s="86">
        <f>Review!H122</f>
        <v>871339.72648019996</v>
      </c>
    </row>
    <row r="45" spans="1:9" x14ac:dyDescent="0.15">
      <c r="A45" t="str">
        <f>Review!B123</f>
        <v>2023-24</v>
      </c>
      <c r="B45" s="123"/>
      <c r="C45" s="86">
        <f>Review!D123</f>
        <v>871340</v>
      </c>
      <c r="D45" s="86">
        <f>Review!E123</f>
        <v>4662668.2045801999</v>
      </c>
      <c r="E45" s="86">
        <f>Review!F123</f>
        <v>5227088.03</v>
      </c>
      <c r="F45" s="86">
        <f>Review!G123</f>
        <v>306920.17458019964</v>
      </c>
      <c r="G45" s="86">
        <f>Review!H123</f>
        <v>-564419.82541980036</v>
      </c>
    </row>
    <row r="46" spans="1:9" x14ac:dyDescent="0.15">
      <c r="A46" t="str">
        <f>Review!B124</f>
        <v>2024-25</v>
      </c>
      <c r="B46" s="123"/>
      <c r="C46" s="86">
        <f>Review!D124</f>
        <v>306920</v>
      </c>
      <c r="D46" s="86">
        <f>Review!E124</f>
        <v>4910042.3461139398</v>
      </c>
      <c r="E46" s="86">
        <f>Review!F124</f>
        <v>5216962.6164000006</v>
      </c>
      <c r="F46" s="86">
        <f>Review!G124</f>
        <v>-0.27028606086969376</v>
      </c>
      <c r="G46" s="86">
        <f>Review!H124</f>
        <v>-306920.27028606087</v>
      </c>
    </row>
    <row r="54" spans="1:9" x14ac:dyDescent="0.15">
      <c r="C54" s="124" t="s">
        <v>59</v>
      </c>
    </row>
    <row r="55" spans="1:9" x14ac:dyDescent="0.15">
      <c r="B55" s="126" t="s">
        <v>119</v>
      </c>
      <c r="C55" s="125" t="s">
        <v>44</v>
      </c>
      <c r="D55" s="125" t="s">
        <v>45</v>
      </c>
      <c r="E55" s="125" t="s">
        <v>46</v>
      </c>
      <c r="F55" s="125" t="s">
        <v>47</v>
      </c>
      <c r="G55" s="125" t="s">
        <v>48</v>
      </c>
      <c r="H55" s="125"/>
      <c r="I55" s="125"/>
    </row>
    <row r="56" spans="1:9" s="124" customFormat="1" x14ac:dyDescent="0.15">
      <c r="B56" s="124" t="s">
        <v>50</v>
      </c>
      <c r="C56" s="124" t="s">
        <v>51</v>
      </c>
      <c r="D56" s="124" t="s">
        <v>52</v>
      </c>
      <c r="E56" s="124" t="s">
        <v>53</v>
      </c>
      <c r="F56" s="124" t="s">
        <v>54</v>
      </c>
      <c r="G56" s="124" t="s">
        <v>55</v>
      </c>
    </row>
    <row r="57" spans="1:9" x14ac:dyDescent="0.15">
      <c r="A57" t="str">
        <f>Review!B134</f>
        <v>2019-20</v>
      </c>
      <c r="B57" s="123"/>
      <c r="C57" s="86">
        <f>Review!D134</f>
        <v>6964795</v>
      </c>
      <c r="D57" s="86">
        <f>Review!E134</f>
        <v>18418916</v>
      </c>
      <c r="E57" s="86">
        <f>Review!F134</f>
        <v>16553587</v>
      </c>
      <c r="F57" s="86">
        <f>Review!G134</f>
        <v>8830124</v>
      </c>
      <c r="G57" s="86">
        <f>Review!H134</f>
        <v>1865329</v>
      </c>
    </row>
    <row r="58" spans="1:9" x14ac:dyDescent="0.15">
      <c r="A58" t="str">
        <f>Review!B135</f>
        <v>2020-21</v>
      </c>
      <c r="B58" s="123"/>
      <c r="C58" s="86">
        <f>Review!D135</f>
        <v>8830124</v>
      </c>
      <c r="D58" s="86">
        <f>Review!E135</f>
        <v>20756502</v>
      </c>
      <c r="E58" s="86">
        <f>Review!F135</f>
        <v>18670857</v>
      </c>
      <c r="F58" s="86">
        <f>Review!G135</f>
        <v>10915769</v>
      </c>
      <c r="G58" s="86">
        <f>Review!H135</f>
        <v>2085645</v>
      </c>
    </row>
    <row r="59" spans="1:9" x14ac:dyDescent="0.15">
      <c r="A59" t="str">
        <f>Review!B136</f>
        <v>2021-22</v>
      </c>
      <c r="B59" s="123"/>
      <c r="C59" s="86">
        <f>Review!D136</f>
        <v>10915769</v>
      </c>
      <c r="D59" s="86">
        <f>Review!E136</f>
        <v>26599946</v>
      </c>
      <c r="E59" s="86">
        <f>Review!F136</f>
        <v>22414095</v>
      </c>
      <c r="F59" s="86">
        <f>Review!G136</f>
        <v>15101620</v>
      </c>
      <c r="G59" s="86">
        <f>Review!H136</f>
        <v>4185851</v>
      </c>
    </row>
    <row r="60" spans="1:9" x14ac:dyDescent="0.15">
      <c r="A60" t="str">
        <f>Review!B137</f>
        <v>2022-23</v>
      </c>
      <c r="B60" s="86">
        <f>Review!C137</f>
        <v>1382588</v>
      </c>
      <c r="C60" s="86">
        <f>Review!D137</f>
        <v>15101620</v>
      </c>
      <c r="D60" s="86">
        <f>Review!E137</f>
        <v>31033928.470982201</v>
      </c>
      <c r="E60" s="86">
        <f>Review!F137</f>
        <v>28740586</v>
      </c>
      <c r="F60" s="86">
        <f>Review!G137</f>
        <v>18777550.470982201</v>
      </c>
      <c r="G60" s="86">
        <f>Review!H137</f>
        <v>2293342.4709822014</v>
      </c>
    </row>
    <row r="61" spans="1:9" x14ac:dyDescent="0.15">
      <c r="A61" t="str">
        <f>Review!B138</f>
        <v>2023-24</v>
      </c>
      <c r="B61" s="123"/>
      <c r="C61" s="86">
        <f>Review!D138</f>
        <v>18777551</v>
      </c>
      <c r="D61" s="86">
        <f>Review!E138</f>
        <v>31021390.204082198</v>
      </c>
      <c r="E61" s="86">
        <f>Review!F138</f>
        <v>31787830.350000001</v>
      </c>
      <c r="F61" s="86">
        <f>Review!G138</f>
        <v>18011110.854082204</v>
      </c>
      <c r="G61" s="86">
        <f>Review!H138</f>
        <v>-766440.14591780119</v>
      </c>
    </row>
    <row r="62" spans="1:9" x14ac:dyDescent="0.15">
      <c r="A62" t="str">
        <f>Review!B139</f>
        <v>2024-25</v>
      </c>
      <c r="B62" s="123"/>
      <c r="C62" s="86">
        <f>Review!D139</f>
        <v>18011111</v>
      </c>
      <c r="D62" s="86">
        <f>Review!E139</f>
        <v>32118046.371115938</v>
      </c>
      <c r="E62" s="86">
        <f>Review!F139</f>
        <v>33298001.894250002</v>
      </c>
      <c r="F62" s="86">
        <f>Review!G139</f>
        <v>16831155.47686594</v>
      </c>
      <c r="G62" s="86">
        <f>Review!H139</f>
        <v>-1179955.5231340639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550-30F2-44E8-A27C-1089076D3174}">
  <dimension ref="A1:J154"/>
  <sheetViews>
    <sheetView workbookViewId="0">
      <selection activeCell="H26" sqref="H26"/>
    </sheetView>
  </sheetViews>
  <sheetFormatPr baseColWidth="10" defaultColWidth="8.83203125" defaultRowHeight="13" x14ac:dyDescent="0.15"/>
  <cols>
    <col min="1" max="1" width="56.83203125" style="413" customWidth="1"/>
    <col min="2" max="2" width="17" style="413" customWidth="1"/>
    <col min="3" max="3" width="14" style="413" customWidth="1"/>
    <col min="4" max="4" width="14.83203125" style="413" customWidth="1"/>
    <col min="5" max="5" width="14" style="413" customWidth="1"/>
    <col min="6" max="8" width="9.1640625" style="413"/>
    <col min="9" max="9" width="19" style="413" customWidth="1"/>
    <col min="10" max="10" width="23.6640625" style="413" customWidth="1"/>
    <col min="11" max="256" width="9.1640625" style="413"/>
    <col min="257" max="257" width="56.83203125" style="413" customWidth="1"/>
    <col min="258" max="258" width="17" style="413" customWidth="1"/>
    <col min="259" max="259" width="14" style="413" customWidth="1"/>
    <col min="260" max="260" width="14.83203125" style="413" customWidth="1"/>
    <col min="261" max="261" width="14" style="413" customWidth="1"/>
    <col min="262" max="264" width="9.1640625" style="413"/>
    <col min="265" max="265" width="19" style="413" customWidth="1"/>
    <col min="266" max="266" width="23.6640625" style="413" customWidth="1"/>
    <col min="267" max="512" width="9.1640625" style="413"/>
    <col min="513" max="513" width="56.83203125" style="413" customWidth="1"/>
    <col min="514" max="514" width="17" style="413" customWidth="1"/>
    <col min="515" max="515" width="14" style="413" customWidth="1"/>
    <col min="516" max="516" width="14.83203125" style="413" customWidth="1"/>
    <col min="517" max="517" width="14" style="413" customWidth="1"/>
    <col min="518" max="520" width="9.1640625" style="413"/>
    <col min="521" max="521" width="19" style="413" customWidth="1"/>
    <col min="522" max="522" width="23.6640625" style="413" customWidth="1"/>
    <col min="523" max="768" width="9.1640625" style="413"/>
    <col min="769" max="769" width="56.83203125" style="413" customWidth="1"/>
    <col min="770" max="770" width="17" style="413" customWidth="1"/>
    <col min="771" max="771" width="14" style="413" customWidth="1"/>
    <col min="772" max="772" width="14.83203125" style="413" customWidth="1"/>
    <col min="773" max="773" width="14" style="413" customWidth="1"/>
    <col min="774" max="776" width="9.1640625" style="413"/>
    <col min="777" max="777" width="19" style="413" customWidth="1"/>
    <col min="778" max="778" width="23.6640625" style="413" customWidth="1"/>
    <col min="779" max="1024" width="9.1640625" style="413"/>
    <col min="1025" max="1025" width="56.83203125" style="413" customWidth="1"/>
    <col min="1026" max="1026" width="17" style="413" customWidth="1"/>
    <col min="1027" max="1027" width="14" style="413" customWidth="1"/>
    <col min="1028" max="1028" width="14.83203125" style="413" customWidth="1"/>
    <col min="1029" max="1029" width="14" style="413" customWidth="1"/>
    <col min="1030" max="1032" width="9.1640625" style="413"/>
    <col min="1033" max="1033" width="19" style="413" customWidth="1"/>
    <col min="1034" max="1034" width="23.6640625" style="413" customWidth="1"/>
    <col min="1035" max="1280" width="9.1640625" style="413"/>
    <col min="1281" max="1281" width="56.83203125" style="413" customWidth="1"/>
    <col min="1282" max="1282" width="17" style="413" customWidth="1"/>
    <col min="1283" max="1283" width="14" style="413" customWidth="1"/>
    <col min="1284" max="1284" width="14.83203125" style="413" customWidth="1"/>
    <col min="1285" max="1285" width="14" style="413" customWidth="1"/>
    <col min="1286" max="1288" width="9.1640625" style="413"/>
    <col min="1289" max="1289" width="19" style="413" customWidth="1"/>
    <col min="1290" max="1290" width="23.6640625" style="413" customWidth="1"/>
    <col min="1291" max="1536" width="9.1640625" style="413"/>
    <col min="1537" max="1537" width="56.83203125" style="413" customWidth="1"/>
    <col min="1538" max="1538" width="17" style="413" customWidth="1"/>
    <col min="1539" max="1539" width="14" style="413" customWidth="1"/>
    <col min="1540" max="1540" width="14.83203125" style="413" customWidth="1"/>
    <col min="1541" max="1541" width="14" style="413" customWidth="1"/>
    <col min="1542" max="1544" width="9.1640625" style="413"/>
    <col min="1545" max="1545" width="19" style="413" customWidth="1"/>
    <col min="1546" max="1546" width="23.6640625" style="413" customWidth="1"/>
    <col min="1547" max="1792" width="9.1640625" style="413"/>
    <col min="1793" max="1793" width="56.83203125" style="413" customWidth="1"/>
    <col min="1794" max="1794" width="17" style="413" customWidth="1"/>
    <col min="1795" max="1795" width="14" style="413" customWidth="1"/>
    <col min="1796" max="1796" width="14.83203125" style="413" customWidth="1"/>
    <col min="1797" max="1797" width="14" style="413" customWidth="1"/>
    <col min="1798" max="1800" width="9.1640625" style="413"/>
    <col min="1801" max="1801" width="19" style="413" customWidth="1"/>
    <col min="1802" max="1802" width="23.6640625" style="413" customWidth="1"/>
    <col min="1803" max="2048" width="9.1640625" style="413"/>
    <col min="2049" max="2049" width="56.83203125" style="413" customWidth="1"/>
    <col min="2050" max="2050" width="17" style="413" customWidth="1"/>
    <col min="2051" max="2051" width="14" style="413" customWidth="1"/>
    <col min="2052" max="2052" width="14.83203125" style="413" customWidth="1"/>
    <col min="2053" max="2053" width="14" style="413" customWidth="1"/>
    <col min="2054" max="2056" width="9.1640625" style="413"/>
    <col min="2057" max="2057" width="19" style="413" customWidth="1"/>
    <col min="2058" max="2058" width="23.6640625" style="413" customWidth="1"/>
    <col min="2059" max="2304" width="9.1640625" style="413"/>
    <col min="2305" max="2305" width="56.83203125" style="413" customWidth="1"/>
    <col min="2306" max="2306" width="17" style="413" customWidth="1"/>
    <col min="2307" max="2307" width="14" style="413" customWidth="1"/>
    <col min="2308" max="2308" width="14.83203125" style="413" customWidth="1"/>
    <col min="2309" max="2309" width="14" style="413" customWidth="1"/>
    <col min="2310" max="2312" width="9.1640625" style="413"/>
    <col min="2313" max="2313" width="19" style="413" customWidth="1"/>
    <col min="2314" max="2314" width="23.6640625" style="413" customWidth="1"/>
    <col min="2315" max="2560" width="9.1640625" style="413"/>
    <col min="2561" max="2561" width="56.83203125" style="413" customWidth="1"/>
    <col min="2562" max="2562" width="17" style="413" customWidth="1"/>
    <col min="2563" max="2563" width="14" style="413" customWidth="1"/>
    <col min="2564" max="2564" width="14.83203125" style="413" customWidth="1"/>
    <col min="2565" max="2565" width="14" style="413" customWidth="1"/>
    <col min="2566" max="2568" width="9.1640625" style="413"/>
    <col min="2569" max="2569" width="19" style="413" customWidth="1"/>
    <col min="2570" max="2570" width="23.6640625" style="413" customWidth="1"/>
    <col min="2571" max="2816" width="9.1640625" style="413"/>
    <col min="2817" max="2817" width="56.83203125" style="413" customWidth="1"/>
    <col min="2818" max="2818" width="17" style="413" customWidth="1"/>
    <col min="2819" max="2819" width="14" style="413" customWidth="1"/>
    <col min="2820" max="2820" width="14.83203125" style="413" customWidth="1"/>
    <col min="2821" max="2821" width="14" style="413" customWidth="1"/>
    <col min="2822" max="2824" width="9.1640625" style="413"/>
    <col min="2825" max="2825" width="19" style="413" customWidth="1"/>
    <col min="2826" max="2826" width="23.6640625" style="413" customWidth="1"/>
    <col min="2827" max="3072" width="9.1640625" style="413"/>
    <col min="3073" max="3073" width="56.83203125" style="413" customWidth="1"/>
    <col min="3074" max="3074" width="17" style="413" customWidth="1"/>
    <col min="3075" max="3075" width="14" style="413" customWidth="1"/>
    <col min="3076" max="3076" width="14.83203125" style="413" customWidth="1"/>
    <col min="3077" max="3077" width="14" style="413" customWidth="1"/>
    <col min="3078" max="3080" width="9.1640625" style="413"/>
    <col min="3081" max="3081" width="19" style="413" customWidth="1"/>
    <col min="3082" max="3082" width="23.6640625" style="413" customWidth="1"/>
    <col min="3083" max="3328" width="9.1640625" style="413"/>
    <col min="3329" max="3329" width="56.83203125" style="413" customWidth="1"/>
    <col min="3330" max="3330" width="17" style="413" customWidth="1"/>
    <col min="3331" max="3331" width="14" style="413" customWidth="1"/>
    <col min="3332" max="3332" width="14.83203125" style="413" customWidth="1"/>
    <col min="3333" max="3333" width="14" style="413" customWidth="1"/>
    <col min="3334" max="3336" width="9.1640625" style="413"/>
    <col min="3337" max="3337" width="19" style="413" customWidth="1"/>
    <col min="3338" max="3338" width="23.6640625" style="413" customWidth="1"/>
    <col min="3339" max="3584" width="9.1640625" style="413"/>
    <col min="3585" max="3585" width="56.83203125" style="413" customWidth="1"/>
    <col min="3586" max="3586" width="17" style="413" customWidth="1"/>
    <col min="3587" max="3587" width="14" style="413" customWidth="1"/>
    <col min="3588" max="3588" width="14.83203125" style="413" customWidth="1"/>
    <col min="3589" max="3589" width="14" style="413" customWidth="1"/>
    <col min="3590" max="3592" width="9.1640625" style="413"/>
    <col min="3593" max="3593" width="19" style="413" customWidth="1"/>
    <col min="3594" max="3594" width="23.6640625" style="413" customWidth="1"/>
    <col min="3595" max="3840" width="9.1640625" style="413"/>
    <col min="3841" max="3841" width="56.83203125" style="413" customWidth="1"/>
    <col min="3842" max="3842" width="17" style="413" customWidth="1"/>
    <col min="3843" max="3843" width="14" style="413" customWidth="1"/>
    <col min="3844" max="3844" width="14.83203125" style="413" customWidth="1"/>
    <col min="3845" max="3845" width="14" style="413" customWidth="1"/>
    <col min="3846" max="3848" width="9.1640625" style="413"/>
    <col min="3849" max="3849" width="19" style="413" customWidth="1"/>
    <col min="3850" max="3850" width="23.6640625" style="413" customWidth="1"/>
    <col min="3851" max="4096" width="9.1640625" style="413"/>
    <col min="4097" max="4097" width="56.83203125" style="413" customWidth="1"/>
    <col min="4098" max="4098" width="17" style="413" customWidth="1"/>
    <col min="4099" max="4099" width="14" style="413" customWidth="1"/>
    <col min="4100" max="4100" width="14.83203125" style="413" customWidth="1"/>
    <col min="4101" max="4101" width="14" style="413" customWidth="1"/>
    <col min="4102" max="4104" width="9.1640625" style="413"/>
    <col min="4105" max="4105" width="19" style="413" customWidth="1"/>
    <col min="4106" max="4106" width="23.6640625" style="413" customWidth="1"/>
    <col min="4107" max="4352" width="9.1640625" style="413"/>
    <col min="4353" max="4353" width="56.83203125" style="413" customWidth="1"/>
    <col min="4354" max="4354" width="17" style="413" customWidth="1"/>
    <col min="4355" max="4355" width="14" style="413" customWidth="1"/>
    <col min="4356" max="4356" width="14.83203125" style="413" customWidth="1"/>
    <col min="4357" max="4357" width="14" style="413" customWidth="1"/>
    <col min="4358" max="4360" width="9.1640625" style="413"/>
    <col min="4361" max="4361" width="19" style="413" customWidth="1"/>
    <col min="4362" max="4362" width="23.6640625" style="413" customWidth="1"/>
    <col min="4363" max="4608" width="9.1640625" style="413"/>
    <col min="4609" max="4609" width="56.83203125" style="413" customWidth="1"/>
    <col min="4610" max="4610" width="17" style="413" customWidth="1"/>
    <col min="4611" max="4611" width="14" style="413" customWidth="1"/>
    <col min="4612" max="4612" width="14.83203125" style="413" customWidth="1"/>
    <col min="4613" max="4613" width="14" style="413" customWidth="1"/>
    <col min="4614" max="4616" width="9.1640625" style="413"/>
    <col min="4617" max="4617" width="19" style="413" customWidth="1"/>
    <col min="4618" max="4618" width="23.6640625" style="413" customWidth="1"/>
    <col min="4619" max="4864" width="9.1640625" style="413"/>
    <col min="4865" max="4865" width="56.83203125" style="413" customWidth="1"/>
    <col min="4866" max="4866" width="17" style="413" customWidth="1"/>
    <col min="4867" max="4867" width="14" style="413" customWidth="1"/>
    <col min="4868" max="4868" width="14.83203125" style="413" customWidth="1"/>
    <col min="4869" max="4869" width="14" style="413" customWidth="1"/>
    <col min="4870" max="4872" width="9.1640625" style="413"/>
    <col min="4873" max="4873" width="19" style="413" customWidth="1"/>
    <col min="4874" max="4874" width="23.6640625" style="413" customWidth="1"/>
    <col min="4875" max="5120" width="9.1640625" style="413"/>
    <col min="5121" max="5121" width="56.83203125" style="413" customWidth="1"/>
    <col min="5122" max="5122" width="17" style="413" customWidth="1"/>
    <col min="5123" max="5123" width="14" style="413" customWidth="1"/>
    <col min="5124" max="5124" width="14.83203125" style="413" customWidth="1"/>
    <col min="5125" max="5125" width="14" style="413" customWidth="1"/>
    <col min="5126" max="5128" width="9.1640625" style="413"/>
    <col min="5129" max="5129" width="19" style="413" customWidth="1"/>
    <col min="5130" max="5130" width="23.6640625" style="413" customWidth="1"/>
    <col min="5131" max="5376" width="9.1640625" style="413"/>
    <col min="5377" max="5377" width="56.83203125" style="413" customWidth="1"/>
    <col min="5378" max="5378" width="17" style="413" customWidth="1"/>
    <col min="5379" max="5379" width="14" style="413" customWidth="1"/>
    <col min="5380" max="5380" width="14.83203125" style="413" customWidth="1"/>
    <col min="5381" max="5381" width="14" style="413" customWidth="1"/>
    <col min="5382" max="5384" width="9.1640625" style="413"/>
    <col min="5385" max="5385" width="19" style="413" customWidth="1"/>
    <col min="5386" max="5386" width="23.6640625" style="413" customWidth="1"/>
    <col min="5387" max="5632" width="9.1640625" style="413"/>
    <col min="5633" max="5633" width="56.83203125" style="413" customWidth="1"/>
    <col min="5634" max="5634" width="17" style="413" customWidth="1"/>
    <col min="5635" max="5635" width="14" style="413" customWidth="1"/>
    <col min="5636" max="5636" width="14.83203125" style="413" customWidth="1"/>
    <col min="5637" max="5637" width="14" style="413" customWidth="1"/>
    <col min="5638" max="5640" width="9.1640625" style="413"/>
    <col min="5641" max="5641" width="19" style="413" customWidth="1"/>
    <col min="5642" max="5642" width="23.6640625" style="413" customWidth="1"/>
    <col min="5643" max="5888" width="9.1640625" style="413"/>
    <col min="5889" max="5889" width="56.83203125" style="413" customWidth="1"/>
    <col min="5890" max="5890" width="17" style="413" customWidth="1"/>
    <col min="5891" max="5891" width="14" style="413" customWidth="1"/>
    <col min="5892" max="5892" width="14.83203125" style="413" customWidth="1"/>
    <col min="5893" max="5893" width="14" style="413" customWidth="1"/>
    <col min="5894" max="5896" width="9.1640625" style="413"/>
    <col min="5897" max="5897" width="19" style="413" customWidth="1"/>
    <col min="5898" max="5898" width="23.6640625" style="413" customWidth="1"/>
    <col min="5899" max="6144" width="9.1640625" style="413"/>
    <col min="6145" max="6145" width="56.83203125" style="413" customWidth="1"/>
    <col min="6146" max="6146" width="17" style="413" customWidth="1"/>
    <col min="6147" max="6147" width="14" style="413" customWidth="1"/>
    <col min="6148" max="6148" width="14.83203125" style="413" customWidth="1"/>
    <col min="6149" max="6149" width="14" style="413" customWidth="1"/>
    <col min="6150" max="6152" width="9.1640625" style="413"/>
    <col min="6153" max="6153" width="19" style="413" customWidth="1"/>
    <col min="6154" max="6154" width="23.6640625" style="413" customWidth="1"/>
    <col min="6155" max="6400" width="9.1640625" style="413"/>
    <col min="6401" max="6401" width="56.83203125" style="413" customWidth="1"/>
    <col min="6402" max="6402" width="17" style="413" customWidth="1"/>
    <col min="6403" max="6403" width="14" style="413" customWidth="1"/>
    <col min="6404" max="6404" width="14.83203125" style="413" customWidth="1"/>
    <col min="6405" max="6405" width="14" style="413" customWidth="1"/>
    <col min="6406" max="6408" width="9.1640625" style="413"/>
    <col min="6409" max="6409" width="19" style="413" customWidth="1"/>
    <col min="6410" max="6410" width="23.6640625" style="413" customWidth="1"/>
    <col min="6411" max="6656" width="9.1640625" style="413"/>
    <col min="6657" max="6657" width="56.83203125" style="413" customWidth="1"/>
    <col min="6658" max="6658" width="17" style="413" customWidth="1"/>
    <col min="6659" max="6659" width="14" style="413" customWidth="1"/>
    <col min="6660" max="6660" width="14.83203125" style="413" customWidth="1"/>
    <col min="6661" max="6661" width="14" style="413" customWidth="1"/>
    <col min="6662" max="6664" width="9.1640625" style="413"/>
    <col min="6665" max="6665" width="19" style="413" customWidth="1"/>
    <col min="6666" max="6666" width="23.6640625" style="413" customWidth="1"/>
    <col min="6667" max="6912" width="9.1640625" style="413"/>
    <col min="6913" max="6913" width="56.83203125" style="413" customWidth="1"/>
    <col min="6914" max="6914" width="17" style="413" customWidth="1"/>
    <col min="6915" max="6915" width="14" style="413" customWidth="1"/>
    <col min="6916" max="6916" width="14.83203125" style="413" customWidth="1"/>
    <col min="6917" max="6917" width="14" style="413" customWidth="1"/>
    <col min="6918" max="6920" width="9.1640625" style="413"/>
    <col min="6921" max="6921" width="19" style="413" customWidth="1"/>
    <col min="6922" max="6922" width="23.6640625" style="413" customWidth="1"/>
    <col min="6923" max="7168" width="9.1640625" style="413"/>
    <col min="7169" max="7169" width="56.83203125" style="413" customWidth="1"/>
    <col min="7170" max="7170" width="17" style="413" customWidth="1"/>
    <col min="7171" max="7171" width="14" style="413" customWidth="1"/>
    <col min="7172" max="7172" width="14.83203125" style="413" customWidth="1"/>
    <col min="7173" max="7173" width="14" style="413" customWidth="1"/>
    <col min="7174" max="7176" width="9.1640625" style="413"/>
    <col min="7177" max="7177" width="19" style="413" customWidth="1"/>
    <col min="7178" max="7178" width="23.6640625" style="413" customWidth="1"/>
    <col min="7179" max="7424" width="9.1640625" style="413"/>
    <col min="7425" max="7425" width="56.83203125" style="413" customWidth="1"/>
    <col min="7426" max="7426" width="17" style="413" customWidth="1"/>
    <col min="7427" max="7427" width="14" style="413" customWidth="1"/>
    <col min="7428" max="7428" width="14.83203125" style="413" customWidth="1"/>
    <col min="7429" max="7429" width="14" style="413" customWidth="1"/>
    <col min="7430" max="7432" width="9.1640625" style="413"/>
    <col min="7433" max="7433" width="19" style="413" customWidth="1"/>
    <col min="7434" max="7434" width="23.6640625" style="413" customWidth="1"/>
    <col min="7435" max="7680" width="9.1640625" style="413"/>
    <col min="7681" max="7681" width="56.83203125" style="413" customWidth="1"/>
    <col min="7682" max="7682" width="17" style="413" customWidth="1"/>
    <col min="7683" max="7683" width="14" style="413" customWidth="1"/>
    <col min="7684" max="7684" width="14.83203125" style="413" customWidth="1"/>
    <col min="7685" max="7685" width="14" style="413" customWidth="1"/>
    <col min="7686" max="7688" width="9.1640625" style="413"/>
    <col min="7689" max="7689" width="19" style="413" customWidth="1"/>
    <col min="7690" max="7690" width="23.6640625" style="413" customWidth="1"/>
    <col min="7691" max="7936" width="9.1640625" style="413"/>
    <col min="7937" max="7937" width="56.83203125" style="413" customWidth="1"/>
    <col min="7938" max="7938" width="17" style="413" customWidth="1"/>
    <col min="7939" max="7939" width="14" style="413" customWidth="1"/>
    <col min="7940" max="7940" width="14.83203125" style="413" customWidth="1"/>
    <col min="7941" max="7941" width="14" style="413" customWidth="1"/>
    <col min="7942" max="7944" width="9.1640625" style="413"/>
    <col min="7945" max="7945" width="19" style="413" customWidth="1"/>
    <col min="7946" max="7946" width="23.6640625" style="413" customWidth="1"/>
    <col min="7947" max="8192" width="9.1640625" style="413"/>
    <col min="8193" max="8193" width="56.83203125" style="413" customWidth="1"/>
    <col min="8194" max="8194" width="17" style="413" customWidth="1"/>
    <col min="8195" max="8195" width="14" style="413" customWidth="1"/>
    <col min="8196" max="8196" width="14.83203125" style="413" customWidth="1"/>
    <col min="8197" max="8197" width="14" style="413" customWidth="1"/>
    <col min="8198" max="8200" width="9.1640625" style="413"/>
    <col min="8201" max="8201" width="19" style="413" customWidth="1"/>
    <col min="8202" max="8202" width="23.6640625" style="413" customWidth="1"/>
    <col min="8203" max="8448" width="9.1640625" style="413"/>
    <col min="8449" max="8449" width="56.83203125" style="413" customWidth="1"/>
    <col min="8450" max="8450" width="17" style="413" customWidth="1"/>
    <col min="8451" max="8451" width="14" style="413" customWidth="1"/>
    <col min="8452" max="8452" width="14.83203125" style="413" customWidth="1"/>
    <col min="8453" max="8453" width="14" style="413" customWidth="1"/>
    <col min="8454" max="8456" width="9.1640625" style="413"/>
    <col min="8457" max="8457" width="19" style="413" customWidth="1"/>
    <col min="8458" max="8458" width="23.6640625" style="413" customWidth="1"/>
    <col min="8459" max="8704" width="9.1640625" style="413"/>
    <col min="8705" max="8705" width="56.83203125" style="413" customWidth="1"/>
    <col min="8706" max="8706" width="17" style="413" customWidth="1"/>
    <col min="8707" max="8707" width="14" style="413" customWidth="1"/>
    <col min="8708" max="8708" width="14.83203125" style="413" customWidth="1"/>
    <col min="8709" max="8709" width="14" style="413" customWidth="1"/>
    <col min="8710" max="8712" width="9.1640625" style="413"/>
    <col min="8713" max="8713" width="19" style="413" customWidth="1"/>
    <col min="8714" max="8714" width="23.6640625" style="413" customWidth="1"/>
    <col min="8715" max="8960" width="9.1640625" style="413"/>
    <col min="8961" max="8961" width="56.83203125" style="413" customWidth="1"/>
    <col min="8962" max="8962" width="17" style="413" customWidth="1"/>
    <col min="8963" max="8963" width="14" style="413" customWidth="1"/>
    <col min="8964" max="8964" width="14.83203125" style="413" customWidth="1"/>
    <col min="8965" max="8965" width="14" style="413" customWidth="1"/>
    <col min="8966" max="8968" width="9.1640625" style="413"/>
    <col min="8969" max="8969" width="19" style="413" customWidth="1"/>
    <col min="8970" max="8970" width="23.6640625" style="413" customWidth="1"/>
    <col min="8971" max="9216" width="9.1640625" style="413"/>
    <col min="9217" max="9217" width="56.83203125" style="413" customWidth="1"/>
    <col min="9218" max="9218" width="17" style="413" customWidth="1"/>
    <col min="9219" max="9219" width="14" style="413" customWidth="1"/>
    <col min="9220" max="9220" width="14.83203125" style="413" customWidth="1"/>
    <col min="9221" max="9221" width="14" style="413" customWidth="1"/>
    <col min="9222" max="9224" width="9.1640625" style="413"/>
    <col min="9225" max="9225" width="19" style="413" customWidth="1"/>
    <col min="9226" max="9226" width="23.6640625" style="413" customWidth="1"/>
    <col min="9227" max="9472" width="9.1640625" style="413"/>
    <col min="9473" max="9473" width="56.83203125" style="413" customWidth="1"/>
    <col min="9474" max="9474" width="17" style="413" customWidth="1"/>
    <col min="9475" max="9475" width="14" style="413" customWidth="1"/>
    <col min="9476" max="9476" width="14.83203125" style="413" customWidth="1"/>
    <col min="9477" max="9477" width="14" style="413" customWidth="1"/>
    <col min="9478" max="9480" width="9.1640625" style="413"/>
    <col min="9481" max="9481" width="19" style="413" customWidth="1"/>
    <col min="9482" max="9482" width="23.6640625" style="413" customWidth="1"/>
    <col min="9483" max="9728" width="9.1640625" style="413"/>
    <col min="9729" max="9729" width="56.83203125" style="413" customWidth="1"/>
    <col min="9730" max="9730" width="17" style="413" customWidth="1"/>
    <col min="9731" max="9731" width="14" style="413" customWidth="1"/>
    <col min="9732" max="9732" width="14.83203125" style="413" customWidth="1"/>
    <col min="9733" max="9733" width="14" style="413" customWidth="1"/>
    <col min="9734" max="9736" width="9.1640625" style="413"/>
    <col min="9737" max="9737" width="19" style="413" customWidth="1"/>
    <col min="9738" max="9738" width="23.6640625" style="413" customWidth="1"/>
    <col min="9739" max="9984" width="9.1640625" style="413"/>
    <col min="9985" max="9985" width="56.83203125" style="413" customWidth="1"/>
    <col min="9986" max="9986" width="17" style="413" customWidth="1"/>
    <col min="9987" max="9987" width="14" style="413" customWidth="1"/>
    <col min="9988" max="9988" width="14.83203125" style="413" customWidth="1"/>
    <col min="9989" max="9989" width="14" style="413" customWidth="1"/>
    <col min="9990" max="9992" width="9.1640625" style="413"/>
    <col min="9993" max="9993" width="19" style="413" customWidth="1"/>
    <col min="9994" max="9994" width="23.6640625" style="413" customWidth="1"/>
    <col min="9995" max="10240" width="9.1640625" style="413"/>
    <col min="10241" max="10241" width="56.83203125" style="413" customWidth="1"/>
    <col min="10242" max="10242" width="17" style="413" customWidth="1"/>
    <col min="10243" max="10243" width="14" style="413" customWidth="1"/>
    <col min="10244" max="10244" width="14.83203125" style="413" customWidth="1"/>
    <col min="10245" max="10245" width="14" style="413" customWidth="1"/>
    <col min="10246" max="10248" width="9.1640625" style="413"/>
    <col min="10249" max="10249" width="19" style="413" customWidth="1"/>
    <col min="10250" max="10250" width="23.6640625" style="413" customWidth="1"/>
    <col min="10251" max="10496" width="9.1640625" style="413"/>
    <col min="10497" max="10497" width="56.83203125" style="413" customWidth="1"/>
    <col min="10498" max="10498" width="17" style="413" customWidth="1"/>
    <col min="10499" max="10499" width="14" style="413" customWidth="1"/>
    <col min="10500" max="10500" width="14.83203125" style="413" customWidth="1"/>
    <col min="10501" max="10501" width="14" style="413" customWidth="1"/>
    <col min="10502" max="10504" width="9.1640625" style="413"/>
    <col min="10505" max="10505" width="19" style="413" customWidth="1"/>
    <col min="10506" max="10506" width="23.6640625" style="413" customWidth="1"/>
    <col min="10507" max="10752" width="9.1640625" style="413"/>
    <col min="10753" max="10753" width="56.83203125" style="413" customWidth="1"/>
    <col min="10754" max="10754" width="17" style="413" customWidth="1"/>
    <col min="10755" max="10755" width="14" style="413" customWidth="1"/>
    <col min="10756" max="10756" width="14.83203125" style="413" customWidth="1"/>
    <col min="10757" max="10757" width="14" style="413" customWidth="1"/>
    <col min="10758" max="10760" width="9.1640625" style="413"/>
    <col min="10761" max="10761" width="19" style="413" customWidth="1"/>
    <col min="10762" max="10762" width="23.6640625" style="413" customWidth="1"/>
    <col min="10763" max="11008" width="9.1640625" style="413"/>
    <col min="11009" max="11009" width="56.83203125" style="413" customWidth="1"/>
    <col min="11010" max="11010" width="17" style="413" customWidth="1"/>
    <col min="11011" max="11011" width="14" style="413" customWidth="1"/>
    <col min="11012" max="11012" width="14.83203125" style="413" customWidth="1"/>
    <col min="11013" max="11013" width="14" style="413" customWidth="1"/>
    <col min="11014" max="11016" width="9.1640625" style="413"/>
    <col min="11017" max="11017" width="19" style="413" customWidth="1"/>
    <col min="11018" max="11018" width="23.6640625" style="413" customWidth="1"/>
    <col min="11019" max="11264" width="9.1640625" style="413"/>
    <col min="11265" max="11265" width="56.83203125" style="413" customWidth="1"/>
    <col min="11266" max="11266" width="17" style="413" customWidth="1"/>
    <col min="11267" max="11267" width="14" style="413" customWidth="1"/>
    <col min="11268" max="11268" width="14.83203125" style="413" customWidth="1"/>
    <col min="11269" max="11269" width="14" style="413" customWidth="1"/>
    <col min="11270" max="11272" width="9.1640625" style="413"/>
    <col min="11273" max="11273" width="19" style="413" customWidth="1"/>
    <col min="11274" max="11274" width="23.6640625" style="413" customWidth="1"/>
    <col min="11275" max="11520" width="9.1640625" style="413"/>
    <col min="11521" max="11521" width="56.83203125" style="413" customWidth="1"/>
    <col min="11522" max="11522" width="17" style="413" customWidth="1"/>
    <col min="11523" max="11523" width="14" style="413" customWidth="1"/>
    <col min="11524" max="11524" width="14.83203125" style="413" customWidth="1"/>
    <col min="11525" max="11525" width="14" style="413" customWidth="1"/>
    <col min="11526" max="11528" width="9.1640625" style="413"/>
    <col min="11529" max="11529" width="19" style="413" customWidth="1"/>
    <col min="11530" max="11530" width="23.6640625" style="413" customWidth="1"/>
    <col min="11531" max="11776" width="9.1640625" style="413"/>
    <col min="11777" max="11777" width="56.83203125" style="413" customWidth="1"/>
    <col min="11778" max="11778" width="17" style="413" customWidth="1"/>
    <col min="11779" max="11779" width="14" style="413" customWidth="1"/>
    <col min="11780" max="11780" width="14.83203125" style="413" customWidth="1"/>
    <col min="11781" max="11781" width="14" style="413" customWidth="1"/>
    <col min="11782" max="11784" width="9.1640625" style="413"/>
    <col min="11785" max="11785" width="19" style="413" customWidth="1"/>
    <col min="11786" max="11786" width="23.6640625" style="413" customWidth="1"/>
    <col min="11787" max="12032" width="9.1640625" style="413"/>
    <col min="12033" max="12033" width="56.83203125" style="413" customWidth="1"/>
    <col min="12034" max="12034" width="17" style="413" customWidth="1"/>
    <col min="12035" max="12035" width="14" style="413" customWidth="1"/>
    <col min="12036" max="12036" width="14.83203125" style="413" customWidth="1"/>
    <col min="12037" max="12037" width="14" style="413" customWidth="1"/>
    <col min="12038" max="12040" width="9.1640625" style="413"/>
    <col min="12041" max="12041" width="19" style="413" customWidth="1"/>
    <col min="12042" max="12042" width="23.6640625" style="413" customWidth="1"/>
    <col min="12043" max="12288" width="9.1640625" style="413"/>
    <col min="12289" max="12289" width="56.83203125" style="413" customWidth="1"/>
    <col min="12290" max="12290" width="17" style="413" customWidth="1"/>
    <col min="12291" max="12291" width="14" style="413" customWidth="1"/>
    <col min="12292" max="12292" width="14.83203125" style="413" customWidth="1"/>
    <col min="12293" max="12293" width="14" style="413" customWidth="1"/>
    <col min="12294" max="12296" width="9.1640625" style="413"/>
    <col min="12297" max="12297" width="19" style="413" customWidth="1"/>
    <col min="12298" max="12298" width="23.6640625" style="413" customWidth="1"/>
    <col min="12299" max="12544" width="9.1640625" style="413"/>
    <col min="12545" max="12545" width="56.83203125" style="413" customWidth="1"/>
    <col min="12546" max="12546" width="17" style="413" customWidth="1"/>
    <col min="12547" max="12547" width="14" style="413" customWidth="1"/>
    <col min="12548" max="12548" width="14.83203125" style="413" customWidth="1"/>
    <col min="12549" max="12549" width="14" style="413" customWidth="1"/>
    <col min="12550" max="12552" width="9.1640625" style="413"/>
    <col min="12553" max="12553" width="19" style="413" customWidth="1"/>
    <col min="12554" max="12554" width="23.6640625" style="413" customWidth="1"/>
    <col min="12555" max="12800" width="9.1640625" style="413"/>
    <col min="12801" max="12801" width="56.83203125" style="413" customWidth="1"/>
    <col min="12802" max="12802" width="17" style="413" customWidth="1"/>
    <col min="12803" max="12803" width="14" style="413" customWidth="1"/>
    <col min="12804" max="12804" width="14.83203125" style="413" customWidth="1"/>
    <col min="12805" max="12805" width="14" style="413" customWidth="1"/>
    <col min="12806" max="12808" width="9.1640625" style="413"/>
    <col min="12809" max="12809" width="19" style="413" customWidth="1"/>
    <col min="12810" max="12810" width="23.6640625" style="413" customWidth="1"/>
    <col min="12811" max="13056" width="9.1640625" style="413"/>
    <col min="13057" max="13057" width="56.83203125" style="413" customWidth="1"/>
    <col min="13058" max="13058" width="17" style="413" customWidth="1"/>
    <col min="13059" max="13059" width="14" style="413" customWidth="1"/>
    <col min="13060" max="13060" width="14.83203125" style="413" customWidth="1"/>
    <col min="13061" max="13061" width="14" style="413" customWidth="1"/>
    <col min="13062" max="13064" width="9.1640625" style="413"/>
    <col min="13065" max="13065" width="19" style="413" customWidth="1"/>
    <col min="13066" max="13066" width="23.6640625" style="413" customWidth="1"/>
    <col min="13067" max="13312" width="9.1640625" style="413"/>
    <col min="13313" max="13313" width="56.83203125" style="413" customWidth="1"/>
    <col min="13314" max="13314" width="17" style="413" customWidth="1"/>
    <col min="13315" max="13315" width="14" style="413" customWidth="1"/>
    <col min="13316" max="13316" width="14.83203125" style="413" customWidth="1"/>
    <col min="13317" max="13317" width="14" style="413" customWidth="1"/>
    <col min="13318" max="13320" width="9.1640625" style="413"/>
    <col min="13321" max="13321" width="19" style="413" customWidth="1"/>
    <col min="13322" max="13322" width="23.6640625" style="413" customWidth="1"/>
    <col min="13323" max="13568" width="9.1640625" style="413"/>
    <col min="13569" max="13569" width="56.83203125" style="413" customWidth="1"/>
    <col min="13570" max="13570" width="17" style="413" customWidth="1"/>
    <col min="13571" max="13571" width="14" style="413" customWidth="1"/>
    <col min="13572" max="13572" width="14.83203125" style="413" customWidth="1"/>
    <col min="13573" max="13573" width="14" style="413" customWidth="1"/>
    <col min="13574" max="13576" width="9.1640625" style="413"/>
    <col min="13577" max="13577" width="19" style="413" customWidth="1"/>
    <col min="13578" max="13578" width="23.6640625" style="413" customWidth="1"/>
    <col min="13579" max="13824" width="9.1640625" style="413"/>
    <col min="13825" max="13825" width="56.83203125" style="413" customWidth="1"/>
    <col min="13826" max="13826" width="17" style="413" customWidth="1"/>
    <col min="13827" max="13827" width="14" style="413" customWidth="1"/>
    <col min="13828" max="13828" width="14.83203125" style="413" customWidth="1"/>
    <col min="13829" max="13829" width="14" style="413" customWidth="1"/>
    <col min="13830" max="13832" width="9.1640625" style="413"/>
    <col min="13833" max="13833" width="19" style="413" customWidth="1"/>
    <col min="13834" max="13834" width="23.6640625" style="413" customWidth="1"/>
    <col min="13835" max="14080" width="9.1640625" style="413"/>
    <col min="14081" max="14081" width="56.83203125" style="413" customWidth="1"/>
    <col min="14082" max="14082" width="17" style="413" customWidth="1"/>
    <col min="14083" max="14083" width="14" style="413" customWidth="1"/>
    <col min="14084" max="14084" width="14.83203125" style="413" customWidth="1"/>
    <col min="14085" max="14085" width="14" style="413" customWidth="1"/>
    <col min="14086" max="14088" width="9.1640625" style="413"/>
    <col min="14089" max="14089" width="19" style="413" customWidth="1"/>
    <col min="14090" max="14090" width="23.6640625" style="413" customWidth="1"/>
    <col min="14091" max="14336" width="9.1640625" style="413"/>
    <col min="14337" max="14337" width="56.83203125" style="413" customWidth="1"/>
    <col min="14338" max="14338" width="17" style="413" customWidth="1"/>
    <col min="14339" max="14339" width="14" style="413" customWidth="1"/>
    <col min="14340" max="14340" width="14.83203125" style="413" customWidth="1"/>
    <col min="14341" max="14341" width="14" style="413" customWidth="1"/>
    <col min="14342" max="14344" width="9.1640625" style="413"/>
    <col min="14345" max="14345" width="19" style="413" customWidth="1"/>
    <col min="14346" max="14346" width="23.6640625" style="413" customWidth="1"/>
    <col min="14347" max="14592" width="9.1640625" style="413"/>
    <col min="14593" max="14593" width="56.83203125" style="413" customWidth="1"/>
    <col min="14594" max="14594" width="17" style="413" customWidth="1"/>
    <col min="14595" max="14595" width="14" style="413" customWidth="1"/>
    <col min="14596" max="14596" width="14.83203125" style="413" customWidth="1"/>
    <col min="14597" max="14597" width="14" style="413" customWidth="1"/>
    <col min="14598" max="14600" width="9.1640625" style="413"/>
    <col min="14601" max="14601" width="19" style="413" customWidth="1"/>
    <col min="14602" max="14602" width="23.6640625" style="413" customWidth="1"/>
    <col min="14603" max="14848" width="9.1640625" style="413"/>
    <col min="14849" max="14849" width="56.83203125" style="413" customWidth="1"/>
    <col min="14850" max="14850" width="17" style="413" customWidth="1"/>
    <col min="14851" max="14851" width="14" style="413" customWidth="1"/>
    <col min="14852" max="14852" width="14.83203125" style="413" customWidth="1"/>
    <col min="14853" max="14853" width="14" style="413" customWidth="1"/>
    <col min="14854" max="14856" width="9.1640625" style="413"/>
    <col min="14857" max="14857" width="19" style="413" customWidth="1"/>
    <col min="14858" max="14858" width="23.6640625" style="413" customWidth="1"/>
    <col min="14859" max="15104" width="9.1640625" style="413"/>
    <col min="15105" max="15105" width="56.83203125" style="413" customWidth="1"/>
    <col min="15106" max="15106" width="17" style="413" customWidth="1"/>
    <col min="15107" max="15107" width="14" style="413" customWidth="1"/>
    <col min="15108" max="15108" width="14.83203125" style="413" customWidth="1"/>
    <col min="15109" max="15109" width="14" style="413" customWidth="1"/>
    <col min="15110" max="15112" width="9.1640625" style="413"/>
    <col min="15113" max="15113" width="19" style="413" customWidth="1"/>
    <col min="15114" max="15114" width="23.6640625" style="413" customWidth="1"/>
    <col min="15115" max="15360" width="9.1640625" style="413"/>
    <col min="15361" max="15361" width="56.83203125" style="413" customWidth="1"/>
    <col min="15362" max="15362" width="17" style="413" customWidth="1"/>
    <col min="15363" max="15363" width="14" style="413" customWidth="1"/>
    <col min="15364" max="15364" width="14.83203125" style="413" customWidth="1"/>
    <col min="15365" max="15365" width="14" style="413" customWidth="1"/>
    <col min="15366" max="15368" width="9.1640625" style="413"/>
    <col min="15369" max="15369" width="19" style="413" customWidth="1"/>
    <col min="15370" max="15370" width="23.6640625" style="413" customWidth="1"/>
    <col min="15371" max="15616" width="9.1640625" style="413"/>
    <col min="15617" max="15617" width="56.83203125" style="413" customWidth="1"/>
    <col min="15618" max="15618" width="17" style="413" customWidth="1"/>
    <col min="15619" max="15619" width="14" style="413" customWidth="1"/>
    <col min="15620" max="15620" width="14.83203125" style="413" customWidth="1"/>
    <col min="15621" max="15621" width="14" style="413" customWidth="1"/>
    <col min="15622" max="15624" width="9.1640625" style="413"/>
    <col min="15625" max="15625" width="19" style="413" customWidth="1"/>
    <col min="15626" max="15626" width="23.6640625" style="413" customWidth="1"/>
    <col min="15627" max="15872" width="9.1640625" style="413"/>
    <col min="15873" max="15873" width="56.83203125" style="413" customWidth="1"/>
    <col min="15874" max="15874" width="17" style="413" customWidth="1"/>
    <col min="15875" max="15875" width="14" style="413" customWidth="1"/>
    <col min="15876" max="15876" width="14.83203125" style="413" customWidth="1"/>
    <col min="15877" max="15877" width="14" style="413" customWidth="1"/>
    <col min="15878" max="15880" width="9.1640625" style="413"/>
    <col min="15881" max="15881" width="19" style="413" customWidth="1"/>
    <col min="15882" max="15882" width="23.6640625" style="413" customWidth="1"/>
    <col min="15883" max="16128" width="9.1640625" style="413"/>
    <col min="16129" max="16129" width="56.83203125" style="413" customWidth="1"/>
    <col min="16130" max="16130" width="17" style="413" customWidth="1"/>
    <col min="16131" max="16131" width="14" style="413" customWidth="1"/>
    <col min="16132" max="16132" width="14.83203125" style="413" customWidth="1"/>
    <col min="16133" max="16133" width="14" style="413" customWidth="1"/>
    <col min="16134" max="16136" width="9.1640625" style="413"/>
    <col min="16137" max="16137" width="19" style="413" customWidth="1"/>
    <col min="16138" max="16138" width="23.6640625" style="413" customWidth="1"/>
    <col min="16139" max="16384" width="9.1640625" style="413"/>
  </cols>
  <sheetData>
    <row r="1" spans="1:10" x14ac:dyDescent="0.15">
      <c r="A1" s="420" t="str">
        <f>'[1]BUDGET-CERTIFICATION'!H1</f>
        <v>Sky Mountain Charter School</v>
      </c>
      <c r="B1" s="421"/>
      <c r="C1" s="421"/>
      <c r="D1" s="421"/>
      <c r="E1" s="421"/>
    </row>
    <row r="2" spans="1:10" x14ac:dyDescent="0.15">
      <c r="A2" s="420" t="s">
        <v>352</v>
      </c>
      <c r="B2" s="421"/>
      <c r="C2" s="421"/>
      <c r="D2" s="421"/>
      <c r="E2" s="421"/>
    </row>
    <row r="3" spans="1:10" x14ac:dyDescent="0.15">
      <c r="A3" s="420" t="str">
        <f>'[1]Budget-ADA'!K7</f>
        <v>2022-23</v>
      </c>
      <c r="B3" s="421"/>
      <c r="C3" s="421"/>
      <c r="D3" s="421"/>
      <c r="E3" s="421"/>
    </row>
    <row r="4" spans="1:10" x14ac:dyDescent="0.15">
      <c r="A4" s="420" t="str">
        <f>'[1]BUDGET-CERTIFICATION'!H3</f>
        <v>Lucerne Valley</v>
      </c>
      <c r="B4" s="421"/>
      <c r="C4" s="421"/>
      <c r="D4" s="421"/>
      <c r="E4" s="421"/>
    </row>
    <row r="5" spans="1:10" x14ac:dyDescent="0.15">
      <c r="A5" s="421"/>
      <c r="B5" s="422" t="s">
        <v>264</v>
      </c>
      <c r="C5" s="422" t="s">
        <v>265</v>
      </c>
      <c r="D5" s="422" t="s">
        <v>266</v>
      </c>
      <c r="E5" s="422" t="s">
        <v>267</v>
      </c>
      <c r="H5" s="414"/>
      <c r="I5" s="414"/>
      <c r="J5" s="414"/>
    </row>
    <row r="6" spans="1:10" x14ac:dyDescent="0.15">
      <c r="A6" s="421" t="s">
        <v>26</v>
      </c>
      <c r="B6" s="423">
        <f>'[1]2nd Interim-ADA'!J76</f>
        <v>2118.83</v>
      </c>
      <c r="C6" s="423">
        <f>'[1]2nd Interim-ADA'!O76</f>
        <v>2170.6099999999997</v>
      </c>
      <c r="D6" s="423">
        <f>'[1]2nd Interim-ADA'!R76</f>
        <v>2170.6099999999997</v>
      </c>
      <c r="E6" s="423">
        <f>'[1]2nd Interim-ADA'!U76</f>
        <v>2170.6099999999997</v>
      </c>
      <c r="H6" s="415"/>
      <c r="I6" s="416"/>
      <c r="J6" s="416"/>
    </row>
    <row r="7" spans="1:10" x14ac:dyDescent="0.15">
      <c r="A7" s="421" t="s">
        <v>27</v>
      </c>
      <c r="B7" s="424">
        <f>'[1]2nd Interim-Assumptions'!F24</f>
        <v>2155</v>
      </c>
      <c r="C7" s="425">
        <f>'[1]2nd Interim-Assumptions'!G24</f>
        <v>2166</v>
      </c>
      <c r="D7" s="425">
        <f>'[1]2nd Interim-Assumptions'!H24</f>
        <v>2166</v>
      </c>
      <c r="E7" s="425">
        <f>'[1]2nd Interim-Assumptions'!J24</f>
        <v>2166</v>
      </c>
      <c r="H7" s="415"/>
      <c r="I7" s="416"/>
      <c r="J7" s="416"/>
    </row>
    <row r="8" spans="1:10" x14ac:dyDescent="0.15">
      <c r="A8" s="421" t="s">
        <v>268</v>
      </c>
      <c r="B8" s="424">
        <f>'[1]2nd Interim-Assumptions'!F27</f>
        <v>739</v>
      </c>
      <c r="C8" s="425">
        <f>'[1]2nd Interim-Assumptions'!G27</f>
        <v>739</v>
      </c>
      <c r="D8" s="425">
        <f>'[1]2nd Interim-Assumptions'!H27</f>
        <v>739</v>
      </c>
      <c r="E8" s="425">
        <f>'[1]2nd Interim-Assumptions'!J27</f>
        <v>739</v>
      </c>
      <c r="H8" s="415"/>
      <c r="I8" s="416"/>
      <c r="J8" s="416"/>
    </row>
    <row r="9" spans="1:10" x14ac:dyDescent="0.15">
      <c r="A9" s="421" t="s">
        <v>269</v>
      </c>
      <c r="B9" s="426">
        <f>'[1]2nd Interim-Assumptions'!F28</f>
        <v>0.33879999999999999</v>
      </c>
      <c r="C9" s="426">
        <f>'[1]2nd Interim-Assumptions'!G28</f>
        <v>0.34010000000000001</v>
      </c>
      <c r="D9" s="426">
        <f>'[1]2nd Interim-Assumptions'!H28</f>
        <v>0.34179999999999999</v>
      </c>
      <c r="E9" s="426">
        <f>'[1]2nd Interim-Assumptions'!J28</f>
        <v>0.3412</v>
      </c>
      <c r="H9" s="415"/>
      <c r="I9" s="416"/>
      <c r="J9" s="416"/>
    </row>
    <row r="10" spans="1:10" x14ac:dyDescent="0.15">
      <c r="A10" s="421"/>
      <c r="B10" s="421"/>
      <c r="C10" s="421"/>
      <c r="D10" s="421"/>
      <c r="E10" s="421"/>
      <c r="H10" s="415"/>
      <c r="I10" s="416"/>
      <c r="J10" s="416"/>
    </row>
    <row r="11" spans="1:10" x14ac:dyDescent="0.15">
      <c r="A11" s="421" t="s">
        <v>270</v>
      </c>
      <c r="B11" s="427">
        <f>'[1]2nd Interim-Unrestricted MYP'!E13+'[1]2nd Interim-Unrestricted MYP'!E14+'[1]2nd Interim-Unrestricted MYP'!E15+'[1]2nd Interim-Unrestricted MYP'!E16</f>
        <v>21736334</v>
      </c>
      <c r="C11" s="427">
        <f>'[1]2nd Interim-Assumptions'!G11</f>
        <v>23607444</v>
      </c>
      <c r="D11" s="427">
        <f>'[1]2nd Interim-Assumptions'!H11</f>
        <v>25534830</v>
      </c>
      <c r="E11" s="427">
        <f>'[1]2nd Interim-Assumptions'!J11</f>
        <v>26435554</v>
      </c>
      <c r="H11" s="415"/>
      <c r="I11" s="416"/>
      <c r="J11" s="416"/>
    </row>
    <row r="12" spans="1:10" x14ac:dyDescent="0.15">
      <c r="A12" s="421"/>
      <c r="B12" s="421"/>
      <c r="C12" s="421"/>
      <c r="D12" s="421"/>
      <c r="E12" s="421"/>
      <c r="H12" s="415"/>
      <c r="I12" s="416"/>
      <c r="J12" s="416"/>
    </row>
    <row r="13" spans="1:10" x14ac:dyDescent="0.15">
      <c r="A13" s="421" t="s">
        <v>271</v>
      </c>
      <c r="B13" s="421"/>
      <c r="C13" s="423">
        <f>'[1]2nd Interim-Assumptions'!G31</f>
        <v>103.14285714285714</v>
      </c>
      <c r="D13" s="423">
        <f>'[1]2nd Interim-Assumptions'!H31</f>
        <v>107.14285714285714</v>
      </c>
      <c r="E13" s="423">
        <f>'[1]2nd Interim-Assumptions'!J31</f>
        <v>107.14285714285714</v>
      </c>
      <c r="H13" s="415"/>
      <c r="I13" s="416"/>
      <c r="J13" s="416"/>
    </row>
    <row r="14" spans="1:10" x14ac:dyDescent="0.15">
      <c r="A14" s="421" t="s">
        <v>272</v>
      </c>
      <c r="B14" s="421"/>
      <c r="C14" s="423">
        <f>'[1]2nd Interim-Assumptions'!G33</f>
        <v>16</v>
      </c>
      <c r="D14" s="423">
        <f>'[1]2nd Interim-Assumptions'!H33</f>
        <v>16</v>
      </c>
      <c r="E14" s="423">
        <f>'[1]2nd Interim-Assumptions'!J33</f>
        <v>16</v>
      </c>
      <c r="H14" s="415"/>
      <c r="I14" s="416"/>
      <c r="J14" s="416"/>
    </row>
    <row r="15" spans="1:10" x14ac:dyDescent="0.15">
      <c r="A15" s="421" t="s">
        <v>273</v>
      </c>
      <c r="B15" s="421"/>
      <c r="C15" s="423">
        <f>'[1]2nd Interim-Assumptions'!G32</f>
        <v>2.5</v>
      </c>
      <c r="D15" s="423">
        <f>'[1]2nd Interim-Assumptions'!H32</f>
        <v>2.5</v>
      </c>
      <c r="E15" s="423">
        <f>'[1]2nd Interim-Assumptions'!J32</f>
        <v>2.5</v>
      </c>
      <c r="H15" s="415"/>
    </row>
    <row r="16" spans="1:10" x14ac:dyDescent="0.15">
      <c r="A16" s="421"/>
      <c r="B16" s="421"/>
      <c r="C16" s="423"/>
      <c r="D16" s="423"/>
      <c r="E16" s="423"/>
      <c r="H16" s="415"/>
    </row>
    <row r="17" spans="1:5" x14ac:dyDescent="0.15">
      <c r="A17" s="421" t="s">
        <v>274</v>
      </c>
      <c r="B17" s="421"/>
      <c r="C17" s="423">
        <f>'[1]2nd Interim-Assumptions'!G51</f>
        <v>3.5</v>
      </c>
      <c r="D17" s="423">
        <f>'[1]2nd Interim-Assumptions'!H51</f>
        <v>4</v>
      </c>
      <c r="E17" s="423">
        <f>'[1]2nd Interim-Assumptions'!J51</f>
        <v>4</v>
      </c>
    </row>
    <row r="18" spans="1:5" x14ac:dyDescent="0.15">
      <c r="A18" s="421" t="s">
        <v>275</v>
      </c>
      <c r="B18" s="421"/>
      <c r="C18" s="423">
        <f>'[1]2nd Interim-Assumptions'!G52</f>
        <v>0</v>
      </c>
      <c r="D18" s="423">
        <f>'[1]2nd Interim-Assumptions'!H52</f>
        <v>0</v>
      </c>
      <c r="E18" s="423">
        <f>'[1]2nd Interim-Assumptions'!J52</f>
        <v>0</v>
      </c>
    </row>
    <row r="19" spans="1:5" x14ac:dyDescent="0.15">
      <c r="A19" s="421"/>
      <c r="B19" s="421"/>
      <c r="C19" s="428"/>
      <c r="D19" s="428"/>
      <c r="E19" s="428"/>
    </row>
    <row r="20" spans="1:5" x14ac:dyDescent="0.15">
      <c r="A20" s="421" t="s">
        <v>276</v>
      </c>
      <c r="B20" s="421"/>
      <c r="C20" s="427">
        <f>'[1]2nd Interim-Assumptions'!G36</f>
        <v>70038</v>
      </c>
      <c r="D20" s="427">
        <f>'[1]2nd Interim-Assumptions'!H36</f>
        <v>78092.37</v>
      </c>
      <c r="E20" s="427">
        <f>'[1]2nd Interim-Assumptions'!J36</f>
        <v>84339.759600000005</v>
      </c>
    </row>
    <row r="21" spans="1:5" x14ac:dyDescent="0.15">
      <c r="A21" s="421" t="s">
        <v>277</v>
      </c>
      <c r="B21" s="421"/>
      <c r="C21" s="427">
        <f>'[1]2nd Interim-Assumptions'!G38</f>
        <v>0</v>
      </c>
      <c r="D21" s="427">
        <f>'[1]2nd Interim-Assumptions'!H38</f>
        <v>0</v>
      </c>
      <c r="E21" s="427">
        <f>'[1]2nd Interim-Assumptions'!J38</f>
        <v>0</v>
      </c>
    </row>
    <row r="22" spans="1:5" x14ac:dyDescent="0.15">
      <c r="A22" s="421" t="s">
        <v>278</v>
      </c>
      <c r="B22" s="421"/>
      <c r="C22" s="427">
        <f>'[1]2nd Interim-Assumptions'!G37</f>
        <v>106766</v>
      </c>
      <c r="D22" s="427">
        <f>'[1]2nd Interim-Assumptions'!H37</f>
        <v>119044.09</v>
      </c>
      <c r="E22" s="427">
        <f>'[1]2nd Interim-Assumptions'!J37</f>
        <v>128567.61720000001</v>
      </c>
    </row>
    <row r="23" spans="1:5" x14ac:dyDescent="0.15">
      <c r="A23" s="429" t="s">
        <v>279</v>
      </c>
      <c r="B23" s="421"/>
      <c r="C23" s="427">
        <f>'[1]2nd Interim-Assumptions'!G40</f>
        <v>0</v>
      </c>
      <c r="D23" s="427">
        <f>'[1]2nd Interim-Assumptions'!H40</f>
        <v>0</v>
      </c>
      <c r="E23" s="427">
        <f>'[1]2nd Interim-Assumptions'!J40</f>
        <v>0</v>
      </c>
    </row>
    <row r="24" spans="1:5" x14ac:dyDescent="0.15">
      <c r="A24" s="429"/>
      <c r="B24" s="421"/>
      <c r="C24" s="427"/>
      <c r="D24" s="427"/>
      <c r="E24" s="427"/>
    </row>
    <row r="25" spans="1:5" x14ac:dyDescent="0.15">
      <c r="A25" s="421" t="s">
        <v>280</v>
      </c>
      <c r="B25" s="421"/>
      <c r="C25" s="427">
        <f>'[1]2nd Interim-Assumptions'!G53</f>
        <v>42315</v>
      </c>
      <c r="D25" s="427">
        <f>'[1]2nd Interim-Assumptions'!H53</f>
        <v>47181.224999999999</v>
      </c>
      <c r="E25" s="427">
        <f>'[1]2nd Interim-Assumptions'!J53</f>
        <v>50955.723000000005</v>
      </c>
    </row>
    <row r="26" spans="1:5" x14ac:dyDescent="0.15">
      <c r="A26" s="421" t="s">
        <v>281</v>
      </c>
      <c r="B26" s="421"/>
      <c r="C26" s="427">
        <f>'[1]2nd Interim-Assumptions'!G54</f>
        <v>0</v>
      </c>
      <c r="D26" s="427">
        <f>'[1]2nd Interim-Assumptions'!H54</f>
        <v>0</v>
      </c>
      <c r="E26" s="427">
        <f>'[1]2nd Interim-Assumptions'!J54</f>
        <v>0</v>
      </c>
    </row>
    <row r="27" spans="1:5" x14ac:dyDescent="0.15">
      <c r="A27" s="429" t="s">
        <v>282</v>
      </c>
      <c r="B27" s="421"/>
      <c r="C27" s="427">
        <f>'[1]2nd Interim-Assumptions'!G56</f>
        <v>0</v>
      </c>
      <c r="D27" s="427">
        <f>'[1]2nd Interim-Assumptions'!H56</f>
        <v>0</v>
      </c>
      <c r="E27" s="427">
        <f>'[1]2nd Interim-Assumptions'!J56</f>
        <v>0</v>
      </c>
    </row>
    <row r="28" spans="1:5" x14ac:dyDescent="0.15">
      <c r="A28" s="421"/>
      <c r="B28" s="421"/>
      <c r="C28" s="427"/>
      <c r="D28" s="427"/>
      <c r="E28" s="427"/>
    </row>
    <row r="29" spans="1:5" x14ac:dyDescent="0.15">
      <c r="A29" s="429" t="s">
        <v>283</v>
      </c>
      <c r="B29" s="421"/>
      <c r="C29" s="427">
        <f>'[1]2nd Interim-Assumptions'!G41</f>
        <v>18600</v>
      </c>
      <c r="D29" s="427">
        <f>'[1]2nd Interim-Assumptions'!H41</f>
        <v>18600</v>
      </c>
      <c r="E29" s="427">
        <f>'[1]2nd Interim-Assumptions'!J41</f>
        <v>18600</v>
      </c>
    </row>
    <row r="30" spans="1:5" x14ac:dyDescent="0.15">
      <c r="A30" s="421" t="s">
        <v>284</v>
      </c>
      <c r="B30" s="421"/>
      <c r="C30" s="427">
        <f>'[1]2nd Interim-Assumptions'!G57</f>
        <v>18600</v>
      </c>
      <c r="D30" s="427">
        <f>'[1]2nd Interim-Assumptions'!H57</f>
        <v>18600</v>
      </c>
      <c r="E30" s="427">
        <f>'[1]2nd Interim-Assumptions'!J57</f>
        <v>18600</v>
      </c>
    </row>
    <row r="31" spans="1:5" x14ac:dyDescent="0.15">
      <c r="A31" s="421"/>
      <c r="B31" s="421"/>
      <c r="C31" s="427"/>
      <c r="D31" s="427"/>
      <c r="E31" s="427"/>
    </row>
    <row r="32" spans="1:5" x14ac:dyDescent="0.15">
      <c r="A32" s="421" t="s">
        <v>285</v>
      </c>
      <c r="B32" s="421"/>
      <c r="C32" s="430">
        <f>'[1]2nd Interim-Assumptions'!G43</f>
        <v>0.191</v>
      </c>
      <c r="D32" s="430">
        <f>'[1]2nd Interim-Assumptions'!H43</f>
        <v>0.191</v>
      </c>
      <c r="E32" s="430">
        <f>'[1]2nd Interim-Assumptions'!J43</f>
        <v>0.191</v>
      </c>
    </row>
    <row r="33" spans="1:5" x14ac:dyDescent="0.15">
      <c r="A33" s="421" t="s">
        <v>286</v>
      </c>
      <c r="B33" s="421"/>
      <c r="C33" s="430">
        <f>'[1]2nd Interim-Assumptions'!G59</f>
        <v>0.25669999999999998</v>
      </c>
      <c r="D33" s="430">
        <f>'[1]2nd Interim-Assumptions'!H59</f>
        <v>0.252</v>
      </c>
      <c r="E33" s="430">
        <f>'[1]2nd Interim-Assumptions'!J59</f>
        <v>0.246</v>
      </c>
    </row>
    <row r="34" spans="1:5" x14ac:dyDescent="0.15">
      <c r="A34" s="421" t="s">
        <v>287</v>
      </c>
      <c r="B34" s="426"/>
      <c r="C34" s="431">
        <f>'[1]1st Interim-Assumptions'!G42</f>
        <v>0</v>
      </c>
      <c r="D34" s="431">
        <f>'[1]1st Interim-Assumptions'!H42</f>
        <v>0</v>
      </c>
      <c r="E34" s="431">
        <f>'[1]1st Interim-Assumptions'!J42</f>
        <v>0</v>
      </c>
    </row>
    <row r="35" spans="1:5" x14ac:dyDescent="0.15">
      <c r="A35" s="421" t="s">
        <v>288</v>
      </c>
      <c r="B35" s="426"/>
      <c r="C35" s="431">
        <f>'[1]2nd Interim-Assumptions'!G58</f>
        <v>0</v>
      </c>
      <c r="D35" s="431">
        <f>'[1]2nd Interim-Assumptions'!H58</f>
        <v>0</v>
      </c>
      <c r="E35" s="431">
        <f>'[1]2nd Interim-Assumptions'!J58</f>
        <v>0</v>
      </c>
    </row>
    <row r="36" spans="1:5" x14ac:dyDescent="0.15">
      <c r="A36" s="421"/>
      <c r="B36" s="421"/>
      <c r="C36" s="426"/>
      <c r="D36" s="426"/>
      <c r="E36" s="426"/>
    </row>
    <row r="37" spans="1:5" x14ac:dyDescent="0.15">
      <c r="A37" s="432" t="s">
        <v>289</v>
      </c>
      <c r="B37" s="421"/>
      <c r="C37" s="433">
        <f>'[1]2nd Interim-Assumptions'!G67</f>
        <v>6.2E-2</v>
      </c>
      <c r="D37" s="433">
        <f>'[1]2nd Interim-Assumptions'!H67</f>
        <v>6.2E-2</v>
      </c>
      <c r="E37" s="433">
        <f>'[1]2nd Interim-Assumptions'!J67</f>
        <v>6.2E-2</v>
      </c>
    </row>
    <row r="38" spans="1:5" x14ac:dyDescent="0.15">
      <c r="A38" s="421" t="s">
        <v>290</v>
      </c>
      <c r="B38" s="421"/>
      <c r="C38" s="433">
        <f>'[1]2nd Interim-Assumptions'!G68</f>
        <v>1.4500000000000001E-2</v>
      </c>
      <c r="D38" s="433">
        <f>'[1]2nd Interim-Assumptions'!H68</f>
        <v>1.4500000000000001E-2</v>
      </c>
      <c r="E38" s="433">
        <f>'[1]2nd Interim-Assumptions'!J68</f>
        <v>1.4500000000000001E-2</v>
      </c>
    </row>
    <row r="39" spans="1:5" x14ac:dyDescent="0.15">
      <c r="A39" s="421" t="s">
        <v>291</v>
      </c>
      <c r="B39" s="421"/>
      <c r="C39" s="433">
        <f>'[1]2nd Interim-Assumptions'!G69</f>
        <v>0.05</v>
      </c>
      <c r="D39" s="433">
        <f>'[1]2nd Interim-Assumptions'!H69</f>
        <v>0.05</v>
      </c>
      <c r="E39" s="433">
        <f>'[1]2nd Interim-Assumptions'!J69</f>
        <v>0.05</v>
      </c>
    </row>
    <row r="40" spans="1:5" x14ac:dyDescent="0.15">
      <c r="A40" s="421" t="s">
        <v>292</v>
      </c>
      <c r="B40" s="421"/>
      <c r="C40" s="433">
        <f>'[1]2nd Interim-Assumptions'!G70</f>
        <v>1.0999999999999999E-2</v>
      </c>
      <c r="D40" s="433">
        <f>'[1]2nd Interim-Assumptions'!H70</f>
        <v>1.0999999999999999E-2</v>
      </c>
      <c r="E40" s="433">
        <f>'[1]2nd Interim-Assumptions'!J70</f>
        <v>1.0999999999999999E-2</v>
      </c>
    </row>
    <row r="41" spans="1:5" x14ac:dyDescent="0.15">
      <c r="A41" s="421"/>
      <c r="B41" s="421"/>
      <c r="C41" s="426"/>
      <c r="D41" s="426"/>
      <c r="E41" s="426"/>
    </row>
    <row r="42" spans="1:5" x14ac:dyDescent="0.15">
      <c r="A42" s="421" t="s">
        <v>293</v>
      </c>
      <c r="B42" s="431"/>
      <c r="C42" s="431"/>
      <c r="D42" s="431"/>
      <c r="E42" s="431"/>
    </row>
    <row r="43" spans="1:5" x14ac:dyDescent="0.15">
      <c r="A43" s="421" t="s">
        <v>294</v>
      </c>
      <c r="B43" s="431">
        <f>'[1]2nd Interim-Unrestricted MYP'!E49</f>
        <v>12579531</v>
      </c>
      <c r="C43" s="431">
        <f>'[1]2nd Interim-Unrestricted MYP'!H49</f>
        <v>12579531</v>
      </c>
      <c r="D43" s="431">
        <f>'[1]2nd Interim-Unrestricted MYP'!J49</f>
        <v>0</v>
      </c>
      <c r="E43" s="431">
        <f>'[1]2nd Interim-Unrestricted MYP'!L49</f>
        <v>0</v>
      </c>
    </row>
    <row r="44" spans="1:5" x14ac:dyDescent="0.15">
      <c r="A44" s="421" t="s">
        <v>295</v>
      </c>
      <c r="B44" s="431">
        <f>'[1]2nd Interim-Unrestricted MYP'!E50</f>
        <v>0</v>
      </c>
      <c r="C44" s="431">
        <f>'[1]2nd Interim-Unrestricted MYP'!H50</f>
        <v>2522089</v>
      </c>
      <c r="D44" s="431">
        <f>'[1]2nd Interim-Unrestricted MYP'!J50</f>
        <v>0</v>
      </c>
      <c r="E44" s="431">
        <f>'[1]2nd Interim-Unrestricted MYP'!L50</f>
        <v>0</v>
      </c>
    </row>
    <row r="45" spans="1:5" x14ac:dyDescent="0.15">
      <c r="A45" s="421" t="s">
        <v>296</v>
      </c>
      <c r="B45" s="431">
        <f>'[1]2nd Interim-Unrestricted MYP'!E51</f>
        <v>0</v>
      </c>
      <c r="C45" s="434">
        <f>'[1]2nd Interim-Unrestricted MYP'!H51</f>
        <v>15101620</v>
      </c>
      <c r="D45" s="431">
        <f>'[1]2nd Interim-Unrestricted MYP'!J51</f>
        <v>0</v>
      </c>
      <c r="E45" s="431">
        <f>'[1]2nd Interim-Unrestricted MYP'!L51</f>
        <v>0</v>
      </c>
    </row>
    <row r="46" spans="1:5" x14ac:dyDescent="0.15">
      <c r="A46" s="421" t="s">
        <v>297</v>
      </c>
      <c r="B46" s="431">
        <f>'[1]2nd Interim-Unrestricted MYP'!E52</f>
        <v>0</v>
      </c>
      <c r="C46" s="434">
        <f>'[1]2nd Interim-Unrestricted MYP'!H52</f>
        <v>1382588</v>
      </c>
      <c r="D46" s="431">
        <f>'[1]2nd Interim-Unrestricted MYP'!J52</f>
        <v>0</v>
      </c>
      <c r="E46" s="431">
        <f>'[1]2nd Interim-Unrestricted MYP'!L52</f>
        <v>0</v>
      </c>
    </row>
    <row r="47" spans="1:5" x14ac:dyDescent="0.15">
      <c r="A47" s="421" t="s">
        <v>298</v>
      </c>
      <c r="B47" s="431">
        <f>'[1]2nd Interim-Unrestricted MYP'!E53</f>
        <v>0</v>
      </c>
      <c r="C47" s="431">
        <f>'[1]2nd Interim-Unrestricted MYP'!H53</f>
        <v>0</v>
      </c>
      <c r="D47" s="431">
        <f>'[1]2nd Interim-Unrestricted MYP'!J53</f>
        <v>0</v>
      </c>
      <c r="E47" s="431">
        <f>'[1]2nd Interim-Unrestricted MYP'!L53</f>
        <v>0</v>
      </c>
    </row>
    <row r="48" spans="1:5" x14ac:dyDescent="0.15">
      <c r="A48" s="421" t="s">
        <v>299</v>
      </c>
      <c r="B48" s="431">
        <f>'[1]2nd Interim-Unrestricted MYP'!E54</f>
        <v>0</v>
      </c>
      <c r="C48" s="434">
        <f>'[1]2nd Interim-Unrestricted MYP'!H54</f>
        <v>16484208</v>
      </c>
      <c r="D48" s="431">
        <f>'[1]2nd Interim-Unrestricted MYP'!J54</f>
        <v>17906211</v>
      </c>
      <c r="E48" s="431">
        <f>'[1]2nd Interim-Unrestricted MYP'!L54</f>
        <v>17704191</v>
      </c>
    </row>
    <row r="49" spans="1:5" x14ac:dyDescent="0.15">
      <c r="A49" s="421" t="s">
        <v>300</v>
      </c>
      <c r="B49" s="431">
        <f>'[1]2nd Interim-Unrestricted MYP'!E55</f>
        <v>13634688.997033399</v>
      </c>
      <c r="C49" s="434">
        <f>'[1]2nd Interim-Unrestricted MYP'!H55</f>
        <v>17906211</v>
      </c>
      <c r="D49" s="431">
        <f>'[1]2nd Interim-Unrestricted MYP'!J55</f>
        <v>17704191</v>
      </c>
      <c r="E49" s="431">
        <f>'[1]2nd Interim-Unrestricted MYP'!L55</f>
        <v>16831156</v>
      </c>
    </row>
    <row r="50" spans="1:5" x14ac:dyDescent="0.15">
      <c r="A50" s="421"/>
      <c r="B50" s="431"/>
      <c r="C50" s="434"/>
      <c r="D50" s="431"/>
      <c r="E50" s="431"/>
    </row>
    <row r="51" spans="1:5" x14ac:dyDescent="0.15">
      <c r="A51" s="421" t="s">
        <v>301</v>
      </c>
      <c r="B51" s="431">
        <f>'[1]2nd Interim-Unrestricted MYP'!E59</f>
        <v>0</v>
      </c>
      <c r="C51" s="434">
        <f>'[1]2nd Interim-Unrestricted MYP'!H59</f>
        <v>0</v>
      </c>
      <c r="D51" s="431">
        <f>'[1]2nd Interim-Unrestricted MYP'!J59</f>
        <v>0</v>
      </c>
      <c r="E51" s="431">
        <f>'[1]2nd Interim-Unrestricted MYP'!L59</f>
        <v>0</v>
      </c>
    </row>
    <row r="52" spans="1:5" x14ac:dyDescent="0.15">
      <c r="A52" s="421" t="s">
        <v>302</v>
      </c>
      <c r="B52" s="431">
        <f>'[1]2nd Interim-Unrestricted MYP'!E60</f>
        <v>0</v>
      </c>
      <c r="C52" s="431">
        <f>'[1]2nd Interim-Unrestricted MYP'!H60</f>
        <v>0</v>
      </c>
      <c r="D52" s="431">
        <f>'[1]2nd Interim-Unrestricted MYP'!J60</f>
        <v>0</v>
      </c>
      <c r="E52" s="431">
        <f>'[1]2nd Interim-Unrestricted MYP'!L60</f>
        <v>0</v>
      </c>
    </row>
    <row r="53" spans="1:5" x14ac:dyDescent="0.15">
      <c r="A53" s="435" t="s">
        <v>303</v>
      </c>
      <c r="B53" s="436">
        <f>'[1]2nd Interim-Unrestricted MYP'!E61</f>
        <v>0</v>
      </c>
      <c r="C53" s="431">
        <f>'[1]2nd Interim-Unrestricted MYP'!H61</f>
        <v>0</v>
      </c>
      <c r="D53" s="431">
        <f>'[1]2nd Interim-Unrestricted MYP'!J61</f>
        <v>0</v>
      </c>
      <c r="E53" s="431">
        <f>'[1]2nd Interim-Unrestricted MYP'!L61</f>
        <v>0</v>
      </c>
    </row>
    <row r="54" spans="1:5" x14ac:dyDescent="0.15">
      <c r="A54" s="435" t="s">
        <v>304</v>
      </c>
      <c r="B54" s="436">
        <f>'[1]2nd Interim-Unrestricted MYP'!E62</f>
        <v>0</v>
      </c>
      <c r="C54" s="431">
        <f>'[1]2nd Interim-Unrestricted MYP'!H62</f>
        <v>0</v>
      </c>
      <c r="D54" s="431">
        <f>'[1]2nd Interim-Unrestricted MYP'!J62</f>
        <v>0</v>
      </c>
      <c r="E54" s="431">
        <f>'[1]2nd Interim-Unrestricted MYP'!L62</f>
        <v>0</v>
      </c>
    </row>
    <row r="55" spans="1:5" x14ac:dyDescent="0.15">
      <c r="A55" s="435" t="s">
        <v>305</v>
      </c>
      <c r="B55" s="436">
        <f>'[1]2nd Interim-Unrestricted MYP'!E65</f>
        <v>0</v>
      </c>
      <c r="C55" s="431">
        <f>'[1]2nd Interim-Unrestricted MYP'!H65</f>
        <v>0</v>
      </c>
      <c r="D55" s="431">
        <f>'[1]2nd Interim-Unrestricted MYP'!J65</f>
        <v>0</v>
      </c>
      <c r="E55" s="431">
        <f>'[1]2nd Interim-Unrestricted MYP'!L65</f>
        <v>0</v>
      </c>
    </row>
    <row r="56" spans="1:5" x14ac:dyDescent="0.15">
      <c r="A56" s="435" t="s">
        <v>306</v>
      </c>
      <c r="B56" s="436">
        <f>'[1]2nd Interim-Unrestricted MYP'!E66</f>
        <v>0</v>
      </c>
      <c r="C56" s="431">
        <f>'[1]2nd Interim-Unrestricted MYP'!H66</f>
        <v>0</v>
      </c>
      <c r="D56" s="431">
        <f>'[1]2nd Interim-Unrestricted MYP'!J66</f>
        <v>0</v>
      </c>
      <c r="E56" s="431">
        <f>'[1]2nd Interim-Unrestricted MYP'!L66</f>
        <v>0</v>
      </c>
    </row>
    <row r="57" spans="1:5" x14ac:dyDescent="0.15">
      <c r="A57" s="435" t="s">
        <v>307</v>
      </c>
      <c r="B57" s="436">
        <f>'[1]2nd Interim-Unrestricted MYP'!E66</f>
        <v>0</v>
      </c>
      <c r="C57" s="431">
        <f>'[1]2nd Interim-Unrestricted MYP'!H66</f>
        <v>0</v>
      </c>
      <c r="D57" s="431">
        <f>'[1]2nd Interim-Unrestricted MYP'!J66</f>
        <v>0</v>
      </c>
      <c r="E57" s="431">
        <f>'[1]2nd Interim-Unrestricted MYP'!L66</f>
        <v>0</v>
      </c>
    </row>
    <row r="58" spans="1:5" x14ac:dyDescent="0.15">
      <c r="A58" s="435" t="s">
        <v>308</v>
      </c>
      <c r="B58" s="436">
        <f>'[1]2nd Interim-Unrestricted MYP'!E69</f>
        <v>1045767.75</v>
      </c>
      <c r="C58" s="431">
        <f>'[1]2nd Interim-Unrestricted MYP'!H69</f>
        <v>1153119.5</v>
      </c>
      <c r="D58" s="431">
        <f>'[1]2nd Interim-Unrestricted MYP'!J69</f>
        <v>1328037.1160000002</v>
      </c>
      <c r="E58" s="431">
        <f>'[1]2nd Interim-Unrestricted MYP'!L69</f>
        <v>1404051.9638925001</v>
      </c>
    </row>
    <row r="59" spans="1:5" x14ac:dyDescent="0.15">
      <c r="A59" s="435" t="s">
        <v>309</v>
      </c>
      <c r="B59" s="436">
        <f>'[1]2nd Interim-Unrestricted MYP'!E70</f>
        <v>5708921.2470333986</v>
      </c>
      <c r="C59" s="431">
        <f>'[1]2nd Interim-Unrestricted MYP'!H70</f>
        <v>10453091.5</v>
      </c>
      <c r="D59" s="431">
        <f>'[1]2nd Interim-Unrestricted MYP'!J70</f>
        <v>10076153.884</v>
      </c>
      <c r="E59" s="431">
        <f>'[1]2nd Interim-Unrestricted MYP'!L70</f>
        <v>9127104.0361074992</v>
      </c>
    </row>
    <row r="60" spans="1:5" x14ac:dyDescent="0.15">
      <c r="A60" s="435"/>
      <c r="B60" s="436"/>
      <c r="C60" s="431"/>
      <c r="D60" s="431"/>
      <c r="E60" s="431"/>
    </row>
    <row r="61" spans="1:5" x14ac:dyDescent="0.15">
      <c r="A61" s="435" t="s">
        <v>310</v>
      </c>
      <c r="B61" s="436"/>
      <c r="C61" s="431"/>
      <c r="D61" s="431"/>
      <c r="E61" s="431"/>
    </row>
    <row r="62" spans="1:5" x14ac:dyDescent="0.15">
      <c r="A62" s="421" t="s">
        <v>294</v>
      </c>
      <c r="B62" s="431">
        <f>'[1]2nd Interim-Restricted MYP'!E49</f>
        <v>932568</v>
      </c>
      <c r="C62" s="431">
        <f>'[1]2nd Interim-Restricted MYP'!H49</f>
        <v>932568</v>
      </c>
      <c r="D62" s="431">
        <f>'[1]2nd Interim-Restricted MYP'!J49</f>
        <v>0</v>
      </c>
      <c r="E62" s="431">
        <f>'[1]2nd Interim-Restricted MYP'!L49</f>
        <v>0</v>
      </c>
    </row>
    <row r="63" spans="1:5" x14ac:dyDescent="0.15">
      <c r="A63" s="421" t="s">
        <v>295</v>
      </c>
      <c r="B63" s="431">
        <f>'[1]2nd Interim-Restricted MYP'!E50</f>
        <v>0</v>
      </c>
      <c r="C63" s="431">
        <f>'[1]2nd Interim-Restricted MYP'!H50</f>
        <v>-932568</v>
      </c>
      <c r="D63" s="431">
        <f>'[1]2nd Interim-Restricted MYP'!J50</f>
        <v>0</v>
      </c>
      <c r="E63" s="431">
        <f>'[1]2nd Interim-Restricted MYP'!L50</f>
        <v>0</v>
      </c>
    </row>
    <row r="64" spans="1:5" x14ac:dyDescent="0.15">
      <c r="A64" s="421" t="s">
        <v>296</v>
      </c>
      <c r="B64" s="431">
        <f t="shared" ref="B64:E64" si="0">B62+B63</f>
        <v>932568</v>
      </c>
      <c r="C64" s="431">
        <f t="shared" si="0"/>
        <v>0</v>
      </c>
      <c r="D64" s="431">
        <f t="shared" si="0"/>
        <v>0</v>
      </c>
      <c r="E64" s="431">
        <f t="shared" si="0"/>
        <v>0</v>
      </c>
    </row>
    <row r="65" spans="1:5" x14ac:dyDescent="0.15">
      <c r="A65" s="421" t="s">
        <v>297</v>
      </c>
      <c r="B65" s="431">
        <f>'[1]2nd Interim-Restricted MYP'!E52</f>
        <v>0</v>
      </c>
      <c r="C65" s="431">
        <f>'[1]2nd Interim-Restricted MYP'!H52</f>
        <v>0</v>
      </c>
      <c r="D65" s="431">
        <f>'[1]2nd Interim-Restricted MYP'!J52</f>
        <v>0</v>
      </c>
      <c r="E65" s="431">
        <f>'[1]2nd Interim-Restricted MYP'!L52</f>
        <v>0</v>
      </c>
    </row>
    <row r="66" spans="1:5" x14ac:dyDescent="0.15">
      <c r="A66" s="421" t="s">
        <v>298</v>
      </c>
      <c r="B66" s="431">
        <f>'[1]2nd Interim-Restricted MYP'!E53</f>
        <v>0</v>
      </c>
      <c r="C66" s="431">
        <f>'[1]2nd Interim-Restricted MYP'!H53</f>
        <v>0</v>
      </c>
      <c r="D66" s="431">
        <f>'[1]2nd Interim-Restricted MYP'!J53</f>
        <v>0</v>
      </c>
      <c r="E66" s="431">
        <f>'[1]2nd Interim-Restricted MYP'!L53</f>
        <v>0</v>
      </c>
    </row>
    <row r="67" spans="1:5" x14ac:dyDescent="0.15">
      <c r="A67" s="421" t="s">
        <v>299</v>
      </c>
      <c r="B67" s="431">
        <f>'[1]2nd Interim-Restricted MYP'!E54</f>
        <v>0</v>
      </c>
      <c r="C67" s="431">
        <f>'[1]2nd Interim-Restricted MYP'!H54</f>
        <v>0</v>
      </c>
      <c r="D67" s="431">
        <f>'[1]2nd Interim-Restricted MYP'!J54</f>
        <v>871340</v>
      </c>
      <c r="E67" s="431">
        <f>'[1]2nd Interim-Restricted MYP'!L54</f>
        <v>306920</v>
      </c>
    </row>
    <row r="68" spans="1:5" x14ac:dyDescent="0.15">
      <c r="A68" s="421" t="s">
        <v>300</v>
      </c>
      <c r="B68" s="431">
        <f>'[1]2nd Interim-Restricted MYP'!E55</f>
        <v>281761.15999999997</v>
      </c>
      <c r="C68" s="431">
        <f>'[1]2nd Interim-Restricted MYP'!H55</f>
        <v>871340</v>
      </c>
      <c r="D68" s="431">
        <f>'[1]2nd Interim-Restricted MYP'!J55</f>
        <v>306920</v>
      </c>
      <c r="E68" s="431">
        <f>'[1]2nd Interim-Restricted MYP'!L55</f>
        <v>0</v>
      </c>
    </row>
    <row r="69" spans="1:5" x14ac:dyDescent="0.15">
      <c r="A69" s="421"/>
      <c r="B69" s="431"/>
      <c r="C69" s="431"/>
      <c r="D69" s="431"/>
      <c r="E69" s="431"/>
    </row>
    <row r="70" spans="1:5" x14ac:dyDescent="0.15">
      <c r="A70" s="421" t="s">
        <v>311</v>
      </c>
      <c r="B70" s="431">
        <f>'[1]2nd Interim-Unrestricted MYP'!E13</f>
        <v>13378518</v>
      </c>
      <c r="C70" s="431">
        <f>'[1]2nd Interim-Unrestricted MYP'!H13</f>
        <v>17099993</v>
      </c>
      <c r="D70" s="431">
        <f>'[1]2nd Interim-Unrestricted MYP'!J13</f>
        <v>24955993</v>
      </c>
      <c r="E70" s="431">
        <f>'[1]2nd Interim-Unrestricted MYP'!L13</f>
        <v>25856717</v>
      </c>
    </row>
    <row r="71" spans="1:5" x14ac:dyDescent="0.15">
      <c r="A71" s="421" t="s">
        <v>312</v>
      </c>
      <c r="B71" s="431">
        <f>'[1]2nd Interim-Unrestricted MYP'!E14</f>
        <v>7791813</v>
      </c>
      <c r="C71" s="431">
        <f>'[1]2nd Interim-Unrestricted MYP'!H15</f>
        <v>0</v>
      </c>
      <c r="D71" s="431">
        <f>'[1]2nd Interim-Unrestricted MYP'!J14</f>
        <v>0</v>
      </c>
      <c r="E71" s="431">
        <f>'[1]2nd Interim-Unrestricted MYP'!L14</f>
        <v>0</v>
      </c>
    </row>
    <row r="72" spans="1:5" x14ac:dyDescent="0.15">
      <c r="A72" s="421" t="s">
        <v>313</v>
      </c>
      <c r="B72" s="431">
        <f>'[1]2nd Interim-Unrestricted MYP'!E15</f>
        <v>0</v>
      </c>
      <c r="C72" s="431">
        <f>'[1]2nd Interim-Unrestricted MYP'!H15</f>
        <v>0</v>
      </c>
      <c r="D72" s="431">
        <f>'[1]2nd Interim-Unrestricted MYP'!J15</f>
        <v>0</v>
      </c>
      <c r="E72" s="431">
        <f>'[1]2nd Interim-Unrestricted MYP'!L15</f>
        <v>0</v>
      </c>
    </row>
    <row r="73" spans="1:5" x14ac:dyDescent="0.15">
      <c r="A73" s="421" t="s">
        <v>314</v>
      </c>
      <c r="B73" s="431">
        <f>'[1]2nd Interim-Unrestricted MYP'!E16</f>
        <v>566003</v>
      </c>
      <c r="C73" s="431">
        <f>'[1]2nd Interim-Unrestricted MYP'!H16</f>
        <v>578837</v>
      </c>
      <c r="D73" s="431">
        <f>'[1]2nd Interim-Unrestricted MYP'!J16</f>
        <v>578837</v>
      </c>
      <c r="E73" s="431">
        <f>'[1]2nd Interim-Unrestricted MYP'!L16</f>
        <v>578837</v>
      </c>
    </row>
    <row r="74" spans="1:5" x14ac:dyDescent="0.15">
      <c r="A74" s="421"/>
      <c r="B74" s="437"/>
      <c r="C74" s="437"/>
      <c r="D74" s="437"/>
      <c r="E74" s="437"/>
    </row>
    <row r="75" spans="1:5" x14ac:dyDescent="0.15">
      <c r="A75" s="421" t="s">
        <v>315</v>
      </c>
      <c r="B75" s="438">
        <f>'[1]2nd Interim-Summary MYP'!E73</f>
        <v>0.03</v>
      </c>
      <c r="C75" s="438">
        <f>'[1]2nd Interim-Summary MYP'!H73</f>
        <v>0.03</v>
      </c>
      <c r="D75" s="438">
        <f>'[1]2nd Interim-Summary MYP'!J73</f>
        <v>0.03</v>
      </c>
      <c r="E75" s="438">
        <f>'[1]2nd Interim-Summary MYP'!L73</f>
        <v>0.03</v>
      </c>
    </row>
    <row r="76" spans="1:5" x14ac:dyDescent="0.15">
      <c r="A76" s="421" t="s">
        <v>316</v>
      </c>
      <c r="B76" s="438" t="str">
        <f>IF('[1]2nd Interim-Summary MYP'!E74="","",'[1]2nd Interim-Summary MYP'!E74)</f>
        <v/>
      </c>
      <c r="C76" s="438" t="str">
        <f>IF('[1]2nd Interim-Summary MYP'!H74="","",'[1]2nd Interim-Summary MYP'!H74)</f>
        <v/>
      </c>
      <c r="D76" s="438" t="str">
        <f>IF('[1]2nd Interim-Summary MYP'!J74="","",'[1]2nd Interim-Summary MYP'!J74)</f>
        <v/>
      </c>
      <c r="E76" s="438" t="str">
        <f>IF('[1]2nd Interim-Summary MYP'!L74="","",'[1]2nd Interim-Summary MYP'!L74)</f>
        <v/>
      </c>
    </row>
    <row r="77" spans="1:5" x14ac:dyDescent="0.15">
      <c r="A77" s="421" t="s">
        <v>317</v>
      </c>
      <c r="B77" s="439">
        <f>'[1]2nd Interim-Summary MYP'!E71</f>
        <v>0.25538045791818326</v>
      </c>
      <c r="C77" s="439">
        <f>'[1]2nd Interim-Summary MYP'!H71</f>
        <v>0.40382652601446611</v>
      </c>
      <c r="D77" s="439">
        <f>'[1]2nd Interim-Summary MYP'!J71</f>
        <v>0.35875965344077027</v>
      </c>
      <c r="E77" s="439">
        <f>'[1]2nd Interim-Summary MYP'!L71</f>
        <v>0.31626990812978933</v>
      </c>
    </row>
    <row r="78" spans="1:5" x14ac:dyDescent="0.15">
      <c r="A78" s="421" t="s">
        <v>318</v>
      </c>
      <c r="B78" s="439">
        <f>'[1]2nd Interim-Summary MYP'!E81</f>
        <v>8.5000000000000006E-2</v>
      </c>
      <c r="C78" s="439">
        <f>'[1]2nd Interim-Summary MYP'!H81</f>
        <v>0.13500000000000001</v>
      </c>
      <c r="D78" s="439">
        <f>'[1]2nd Interim-Summary MYP'!J81</f>
        <v>0.12</v>
      </c>
      <c r="E78" s="439">
        <f>'[1]2nd Interim-Summary MYP'!L81</f>
        <v>0.105</v>
      </c>
    </row>
    <row r="79" spans="1:5" x14ac:dyDescent="0.15">
      <c r="A79" s="421" t="s">
        <v>319</v>
      </c>
      <c r="B79" s="439">
        <f>'[1]2nd Interim-Summary MYP'!E80</f>
        <v>0</v>
      </c>
      <c r="C79" s="439">
        <f>'[1]2nd Interim-Summary MYP'!H80</f>
        <v>0</v>
      </c>
      <c r="D79" s="439">
        <f>'[1]2nd Interim-Summary MYP'!J80</f>
        <v>8.0000000000000002E-3</v>
      </c>
      <c r="E79" s="439">
        <f>'[1]2nd Interim-Summary MYP'!L80</f>
        <v>3.1E-2</v>
      </c>
    </row>
    <row r="80" spans="1:5" x14ac:dyDescent="0.15">
      <c r="A80" s="421"/>
      <c r="B80" s="439"/>
      <c r="C80" s="439"/>
      <c r="D80" s="439"/>
      <c r="E80" s="439"/>
    </row>
    <row r="81" spans="1:5" x14ac:dyDescent="0.15">
      <c r="A81" s="421" t="s">
        <v>320</v>
      </c>
      <c r="B81" s="431">
        <f>'[1]2nd Interim-Unrestricted MYP'!E26+'[1]2nd Interim-Unrestricted MYP'!E42</f>
        <v>21970512.997033399</v>
      </c>
      <c r="C81" s="431">
        <f>'[1]2nd Interim-Unrestricted MYP'!H26+'[1]2nd Interim-Unrestricted MYP'!H42</f>
        <v>24484392.744502001</v>
      </c>
      <c r="D81" s="431">
        <f>'[1]2nd Interim-Unrestricted MYP'!J26+'[1]2nd Interim-Unrestricted MYP'!J42</f>
        <v>26358721.999501999</v>
      </c>
      <c r="E81" s="431">
        <f>'[1]2nd Interim-Unrestricted MYP'!L26+'[1]2nd Interim-Unrestricted MYP'!L42</f>
        <v>27208004.025001999</v>
      </c>
    </row>
    <row r="82" spans="1:5" x14ac:dyDescent="0.15">
      <c r="A82" s="421" t="s">
        <v>321</v>
      </c>
      <c r="B82" s="431">
        <f>'[1]2nd Interim-Unrestricted MYP'!E37+'[1]2nd Interim-Unrestricted MYP'!E43</f>
        <v>20915355</v>
      </c>
      <c r="C82" s="431">
        <f>'[1]2nd Interim-Unrestricted MYP'!H37+'[1]2nd Interim-Unrestricted MYP'!H43</f>
        <v>23062390</v>
      </c>
      <c r="D82" s="431">
        <f>'[1]2nd Interim-Unrestricted MYP'!J37+'[1]2nd Interim-Unrestricted MYP'!J43</f>
        <v>26560742.32</v>
      </c>
      <c r="E82" s="431">
        <f>'[1]2nd Interim-Unrestricted MYP'!L37+'[1]2nd Interim-Unrestricted MYP'!L43</f>
        <v>28081039.277850002</v>
      </c>
    </row>
    <row r="83" spans="1:5" x14ac:dyDescent="0.15">
      <c r="A83" s="421"/>
      <c r="B83" s="431"/>
      <c r="C83" s="431"/>
      <c r="D83" s="431"/>
      <c r="E83" s="431"/>
    </row>
    <row r="84" spans="1:5" x14ac:dyDescent="0.15">
      <c r="A84" s="421" t="s">
        <v>322</v>
      </c>
      <c r="B84" s="431">
        <f>'[1]2nd Interim-Restricted MYP'!E26+'[1]2nd Interim-Restricted MYP'!E42</f>
        <v>4883352.1568170004</v>
      </c>
      <c r="C84" s="431">
        <f>'[1]2nd Interim-Restricted MYP'!H26+'[1]2nd Interim-Restricted MYP'!H42</f>
        <v>6549535.7264802</v>
      </c>
      <c r="D84" s="431">
        <f>'[1]2nd Interim-Restricted MYP'!J26+'[1]2nd Interim-Restricted MYP'!J42</f>
        <v>4662668.2045801999</v>
      </c>
      <c r="E84" s="431">
        <f>'[1]2nd Interim-Restricted MYP'!L26+'[1]2nd Interim-Restricted MYP'!L42</f>
        <v>4910042.3461139398</v>
      </c>
    </row>
    <row r="85" spans="1:5" x14ac:dyDescent="0.15">
      <c r="A85" s="421" t="s">
        <v>323</v>
      </c>
      <c r="B85" s="431">
        <f>'[1]2nd Interim-Restricted MYP'!E37+'[1]2nd Interim-Restricted MYP'!E43</f>
        <v>5534159</v>
      </c>
      <c r="C85" s="431">
        <f>'[1]2nd Interim-Restricted MYP'!H37+'[1]2nd Interim-Restricted MYP'!H43</f>
        <v>5678196</v>
      </c>
      <c r="D85" s="431">
        <f>'[1]2nd Interim-Restricted MYP'!J37+'[1]2nd Interim-Restricted MYP'!J43</f>
        <v>5227088.03</v>
      </c>
      <c r="E85" s="431">
        <f>'[1]2nd Interim-Restricted MYP'!L37+'[1]2nd Interim-Restricted MYP'!L43</f>
        <v>5216962.6164000006</v>
      </c>
    </row>
    <row r="86" spans="1:5" x14ac:dyDescent="0.15">
      <c r="A86" s="421"/>
      <c r="B86" s="427"/>
      <c r="C86" s="427"/>
      <c r="D86" s="427"/>
      <c r="E86" s="427"/>
    </row>
    <row r="87" spans="1:5" x14ac:dyDescent="0.15">
      <c r="A87" s="421" t="s">
        <v>324</v>
      </c>
      <c r="B87" s="427"/>
      <c r="C87" s="433">
        <f>'[1]2nd Interim-Restricted MYP'!H149</f>
        <v>0.1021</v>
      </c>
      <c r="D87" s="433">
        <f>'[1]2nd Interim-Restricted MYP'!J149</f>
        <v>0.1021</v>
      </c>
      <c r="E87" s="433">
        <f>'[1]2nd Interim-Restricted MYP'!L149</f>
        <v>0.1021</v>
      </c>
    </row>
    <row r="88" spans="1:5" x14ac:dyDescent="0.15">
      <c r="A88" s="421" t="s">
        <v>325</v>
      </c>
      <c r="B88" s="421"/>
      <c r="C88" s="421" t="str">
        <f>T('[1]2nd Interim-Restricted MYP'!E150:M150)</f>
        <v>Sonoma Charter SELPA</v>
      </c>
      <c r="D88" s="421"/>
      <c r="E88" s="421"/>
    </row>
    <row r="89" spans="1:5" x14ac:dyDescent="0.15">
      <c r="A89" s="421" t="s">
        <v>147</v>
      </c>
      <c r="B89" s="426"/>
      <c r="C89" s="431">
        <f>'[1]2nd Interim-Restricted MYP'!H151</f>
        <v>1607387</v>
      </c>
      <c r="D89" s="431">
        <f>'[1]2nd Interim-Restricted MYP'!J151</f>
        <v>1738067.5630999999</v>
      </c>
      <c r="E89" s="431">
        <f>'[1]2nd Interim-Restricted MYP'!L151</f>
        <v>1799595.1548337401</v>
      </c>
    </row>
    <row r="90" spans="1:5" x14ac:dyDescent="0.15">
      <c r="A90" s="421" t="s">
        <v>326</v>
      </c>
      <c r="B90" s="421"/>
      <c r="C90" s="431">
        <f>'[1]2nd Interim-Restricted MYP'!H152</f>
        <v>1811937</v>
      </c>
      <c r="D90" s="431">
        <f>'[1]2nd Interim-Restricted MYP'!J152</f>
        <v>1841427.595</v>
      </c>
      <c r="E90" s="431">
        <f>'[1]2nd Interim-Restricted MYP'!L152</f>
        <v>1965495.61855</v>
      </c>
    </row>
    <row r="91" spans="1:5" x14ac:dyDescent="0.15">
      <c r="A91" s="421" t="s">
        <v>327</v>
      </c>
      <c r="B91" s="427"/>
      <c r="C91" s="427">
        <f>'[1]2nd Interim-Restricted MYP'!H153</f>
        <v>461363</v>
      </c>
      <c r="D91" s="427">
        <f>'[1]2nd Interim-Restricted MYP'!J153</f>
        <v>514419.745</v>
      </c>
      <c r="E91" s="427">
        <f>'[1]2nd Interim-Restricted MYP'!L153</f>
        <v>565861.71950000001</v>
      </c>
    </row>
    <row r="92" spans="1:5" x14ac:dyDescent="0.15">
      <c r="A92" s="421" t="s">
        <v>328</v>
      </c>
      <c r="B92" s="427"/>
      <c r="C92" s="427">
        <f>'[1]2nd Interim-Restricted MYP'!H154</f>
        <v>3880687</v>
      </c>
      <c r="D92" s="427">
        <f>'[1]2nd Interim-Restricted MYP'!J154</f>
        <v>4093914.9030999998</v>
      </c>
      <c r="E92" s="427">
        <f>'[1]2nd Interim-Restricted MYP'!L154</f>
        <v>4330952.49288374</v>
      </c>
    </row>
    <row r="93" spans="1:5" x14ac:dyDescent="0.15">
      <c r="A93" s="421" t="s">
        <v>329</v>
      </c>
      <c r="B93" s="427"/>
      <c r="C93" s="427">
        <f>'[1]2nd Interim-Restricted MYP'!H155</f>
        <v>3880687</v>
      </c>
      <c r="D93" s="427">
        <f>'[1]2nd Interim-Restricted MYP'!J155</f>
        <v>4093914.9030999998</v>
      </c>
      <c r="E93" s="427">
        <f>'[1]2nd Interim-Restricted MYP'!L155</f>
        <v>4330952.49288374</v>
      </c>
    </row>
    <row r="94" spans="1:5" x14ac:dyDescent="0.15">
      <c r="A94" s="421"/>
      <c r="B94" s="427"/>
      <c r="C94" s="427"/>
      <c r="D94" s="427"/>
      <c r="E94" s="427"/>
    </row>
    <row r="95" spans="1:5" x14ac:dyDescent="0.15">
      <c r="A95" s="421" t="s">
        <v>330</v>
      </c>
      <c r="B95" s="427"/>
      <c r="C95" s="427"/>
      <c r="D95" s="427"/>
      <c r="E95" s="427"/>
    </row>
    <row r="96" spans="1:5" x14ac:dyDescent="0.15">
      <c r="A96" s="421" t="s">
        <v>153</v>
      </c>
      <c r="B96" s="431">
        <f>'[1]2nd Interim-Unrestricted MYP'!E29</f>
        <v>7493809</v>
      </c>
      <c r="C96" s="431">
        <f>'[1]2nd Interim-Unrestricted MYP'!H29</f>
        <v>7674076</v>
      </c>
      <c r="D96" s="431">
        <f>'[1]2nd Interim-Unrestricted MYP'!J29</f>
        <v>8756594.7400000002</v>
      </c>
      <c r="E96" s="431">
        <f>'[1]2nd Interim-Unrestricted MYP'!L29</f>
        <v>9457122.3192000017</v>
      </c>
    </row>
    <row r="97" spans="1:5" x14ac:dyDescent="0.15">
      <c r="A97" s="421" t="s">
        <v>154</v>
      </c>
      <c r="B97" s="431">
        <f>'[1]2nd Interim-Unrestricted MYP'!E30</f>
        <v>330754</v>
      </c>
      <c r="C97" s="431">
        <f>'[1]2nd Interim-Unrestricted MYP'!H30</f>
        <v>374086</v>
      </c>
      <c r="D97" s="431">
        <f>'[1]2nd Interim-Unrestricted MYP'!J30</f>
        <v>442105.89</v>
      </c>
      <c r="E97" s="431">
        <f>'[1]2nd Interim-Unrestricted MYP'!L30</f>
        <v>477474.36120000004</v>
      </c>
    </row>
    <row r="98" spans="1:5" x14ac:dyDescent="0.15">
      <c r="A98" s="421" t="s">
        <v>155</v>
      </c>
      <c r="B98" s="431">
        <f>'[1]2nd Interim-Unrestricted MYP'!E31</f>
        <v>3023728</v>
      </c>
      <c r="C98" s="431">
        <f>'[1]2nd Interim-Unrestricted MYP'!H31</f>
        <v>3127138</v>
      </c>
      <c r="D98" s="431">
        <f>'[1]2nd Interim-Unrestricted MYP'!J31</f>
        <v>3643115.77</v>
      </c>
      <c r="E98" s="431">
        <f>'[1]2nd Interim-Unrestricted MYP'!L31</f>
        <v>4025642.9258499998</v>
      </c>
    </row>
    <row r="99" spans="1:5" x14ac:dyDescent="0.15">
      <c r="A99" s="421" t="s">
        <v>156</v>
      </c>
      <c r="B99" s="431">
        <f>'[1]2nd Interim-Unrestricted MYP'!E32</f>
        <v>3678913</v>
      </c>
      <c r="C99" s="431">
        <f>'[1]2nd Interim-Unrestricted MYP'!H32</f>
        <v>3747528</v>
      </c>
      <c r="D99" s="431">
        <f>'[1]2nd Interim-Unrestricted MYP'!J32</f>
        <v>4047330.24</v>
      </c>
      <c r="E99" s="431">
        <f>'[1]2nd Interim-Unrestricted MYP'!L32</f>
        <v>3868750.1472000005</v>
      </c>
    </row>
    <row r="100" spans="1:5" x14ac:dyDescent="0.15">
      <c r="A100" s="421" t="s">
        <v>157</v>
      </c>
      <c r="B100" s="431">
        <f>'[1]2nd Interim-Unrestricted MYP'!E33</f>
        <v>6556941</v>
      </c>
      <c r="C100" s="431">
        <f>'[1]2nd Interim-Unrestricted MYP'!H33</f>
        <v>8275472</v>
      </c>
      <c r="D100" s="431">
        <f>'[1]2nd Interim-Unrestricted MYP'!J33</f>
        <v>9820264.4800000004</v>
      </c>
      <c r="E100" s="431">
        <f>'[1]2nd Interim-Unrestricted MYP'!L33</f>
        <v>10405885.638400001</v>
      </c>
    </row>
    <row r="101" spans="1:5" x14ac:dyDescent="0.15">
      <c r="A101" s="421" t="s">
        <v>158</v>
      </c>
      <c r="B101" s="431">
        <f>'[1]2nd Interim-Unrestricted MYP'!E34</f>
        <v>23575</v>
      </c>
      <c r="C101" s="431">
        <f>'[1]2nd Interim-Unrestricted MYP'!H34</f>
        <v>23575</v>
      </c>
      <c r="D101" s="431">
        <f>'[1]2nd Interim-Unrestricted MYP'!J34</f>
        <v>23575</v>
      </c>
      <c r="E101" s="431">
        <f>'[1]2nd Interim-Unrestricted MYP'!L34</f>
        <v>23575</v>
      </c>
    </row>
    <row r="102" spans="1:5" x14ac:dyDescent="0.15">
      <c r="A102" s="421" t="s">
        <v>159</v>
      </c>
      <c r="B102" s="431">
        <f>'[1]2nd Interim-Unrestricted MYP'!E35</f>
        <v>-192365</v>
      </c>
      <c r="C102" s="431">
        <f>'[1]2nd Interim-Unrestricted MYP'!H35</f>
        <v>-159485</v>
      </c>
      <c r="D102" s="431">
        <f>'[1]2nd Interim-Unrestricted MYP'!J35</f>
        <v>-172243.80000000002</v>
      </c>
      <c r="E102" s="431">
        <f>'[1]2nd Interim-Unrestricted MYP'!L35</f>
        <v>-177411.11400000003</v>
      </c>
    </row>
    <row r="103" spans="1:5" x14ac:dyDescent="0.15">
      <c r="A103" s="421" t="s">
        <v>331</v>
      </c>
      <c r="B103" s="431">
        <f>'[1]2nd Interim-Unrestricted MYP'!E36</f>
        <v>0</v>
      </c>
      <c r="C103" s="431">
        <f>'[1]2nd Interim-Unrestricted MYP'!H36</f>
        <v>0</v>
      </c>
      <c r="D103" s="431">
        <f>'[1]2nd Interim-Unrestricted MYP'!J36</f>
        <v>0</v>
      </c>
      <c r="E103" s="431">
        <f>'[1]2nd Interim-Unrestricted MYP'!L36</f>
        <v>0</v>
      </c>
    </row>
    <row r="104" spans="1:5" x14ac:dyDescent="0.15">
      <c r="A104" s="421" t="s">
        <v>160</v>
      </c>
      <c r="B104" s="431">
        <f>'[1]2nd Interim-Unrestricted MYP'!E37</f>
        <v>20915355</v>
      </c>
      <c r="C104" s="431">
        <f>'[1]2nd Interim-Unrestricted MYP'!H37</f>
        <v>23062390</v>
      </c>
      <c r="D104" s="431">
        <f>'[1]2nd Interim-Unrestricted MYP'!J37</f>
        <v>26560742.32</v>
      </c>
      <c r="E104" s="431">
        <f>'[1]2nd Interim-Unrestricted MYP'!L37</f>
        <v>28081039.277850002</v>
      </c>
    </row>
    <row r="105" spans="1:5" x14ac:dyDescent="0.15">
      <c r="A105" s="421"/>
      <c r="B105" s="431"/>
      <c r="C105" s="431"/>
      <c r="D105" s="431"/>
      <c r="E105" s="431"/>
    </row>
    <row r="106" spans="1:5" x14ac:dyDescent="0.15">
      <c r="A106" s="421" t="s">
        <v>332</v>
      </c>
      <c r="B106" s="431"/>
      <c r="C106" s="431"/>
      <c r="D106" s="431"/>
      <c r="E106" s="431"/>
    </row>
    <row r="107" spans="1:5" x14ac:dyDescent="0.15">
      <c r="A107" s="421" t="s">
        <v>153</v>
      </c>
      <c r="B107" s="431">
        <f>'[1]2nd Interim-Restricted MYP'!E29</f>
        <v>1581370</v>
      </c>
      <c r="C107" s="431">
        <f>'[1]2nd Interim-Restricted MYP'!H29</f>
        <v>1537390</v>
      </c>
      <c r="D107" s="431">
        <f>'[1]2nd Interim-Restricted MYP'!J29</f>
        <v>1714189.85</v>
      </c>
      <c r="E107" s="431">
        <f>'[1]2nd Interim-Restricted MYP'!L29</f>
        <v>1851325.0380000002</v>
      </c>
    </row>
    <row r="108" spans="1:5" x14ac:dyDescent="0.15">
      <c r="A108" s="421" t="s">
        <v>154</v>
      </c>
      <c r="B108" s="431">
        <f>'[1]2nd Interim-Restricted MYP'!E30</f>
        <v>4535</v>
      </c>
      <c r="C108" s="431">
        <f>'[1]2nd Interim-Restricted MYP'!H30</f>
        <v>54516</v>
      </c>
      <c r="D108" s="431">
        <f>'[1]2nd Interim-Restricted MYP'!J30</f>
        <v>60785.34</v>
      </c>
      <c r="E108" s="431">
        <f>'[1]2nd Interim-Restricted MYP'!L30</f>
        <v>65648.167199999996</v>
      </c>
    </row>
    <row r="109" spans="1:5" x14ac:dyDescent="0.15">
      <c r="A109" s="421" t="s">
        <v>155</v>
      </c>
      <c r="B109" s="431">
        <f>'[1]2nd Interim-Restricted MYP'!E31</f>
        <v>567915</v>
      </c>
      <c r="C109" s="431">
        <f>'[1]2nd Interim-Restricted MYP'!H31</f>
        <v>601296</v>
      </c>
      <c r="D109" s="431">
        <f>'[1]2nd Interim-Restricted MYP'!J31</f>
        <v>682470.96</v>
      </c>
      <c r="E109" s="431">
        <f>'[1]2nd Interim-Restricted MYP'!L31</f>
        <v>754130.41079999995</v>
      </c>
    </row>
    <row r="110" spans="1:5" x14ac:dyDescent="0.15">
      <c r="A110" s="421" t="s">
        <v>156</v>
      </c>
      <c r="B110" s="431">
        <f>'[1]2nd Interim-Restricted MYP'!E32</f>
        <v>412543</v>
      </c>
      <c r="C110" s="431">
        <f>'[1]2nd Interim-Restricted MYP'!H32</f>
        <v>918208</v>
      </c>
      <c r="D110" s="431">
        <f>'[1]2nd Interim-Restricted MYP'!J32</f>
        <v>297513</v>
      </c>
      <c r="E110" s="431">
        <f>'[1]2nd Interim-Restricted MYP'!L32</f>
        <v>222196</v>
      </c>
    </row>
    <row r="111" spans="1:5" x14ac:dyDescent="0.15">
      <c r="A111" s="421" t="s">
        <v>157</v>
      </c>
      <c r="B111" s="431">
        <f>'[1]2nd Interim-Restricted MYP'!E33</f>
        <v>2775431</v>
      </c>
      <c r="C111" s="431">
        <f>'[1]2nd Interim-Restricted MYP'!H33</f>
        <v>2407301</v>
      </c>
      <c r="D111" s="431">
        <f>'[1]2nd Interim-Restricted MYP'!J33</f>
        <v>2299885.08</v>
      </c>
      <c r="E111" s="431">
        <f>'[1]2nd Interim-Restricted MYP'!L33</f>
        <v>2146251.8864000002</v>
      </c>
    </row>
    <row r="112" spans="1:5" x14ac:dyDescent="0.15">
      <c r="A112" s="421" t="s">
        <v>158</v>
      </c>
      <c r="B112" s="431">
        <f>'[1]2nd Interim-Restricted MYP'!E34</f>
        <v>0</v>
      </c>
      <c r="C112" s="431">
        <f>'[1]2nd Interim-Restricted MYP'!H34</f>
        <v>0</v>
      </c>
      <c r="D112" s="431">
        <f>'[1]2nd Interim-Restricted MYP'!J34</f>
        <v>0</v>
      </c>
      <c r="E112" s="431">
        <f>'[1]2nd Interim-Restricted MYP'!L34</f>
        <v>0</v>
      </c>
    </row>
    <row r="113" spans="1:5" x14ac:dyDescent="0.15">
      <c r="A113" s="421" t="s">
        <v>159</v>
      </c>
      <c r="B113" s="431">
        <f>'[1]2nd Interim-Restricted MYP'!E35</f>
        <v>192365</v>
      </c>
      <c r="C113" s="431">
        <f>'[1]2nd Interim-Restricted MYP'!H35</f>
        <v>159485</v>
      </c>
      <c r="D113" s="431">
        <f>'[1]2nd Interim-Restricted MYP'!J35</f>
        <v>172243.80000000002</v>
      </c>
      <c r="E113" s="431">
        <f>'[1]2nd Interim-Restricted MYP'!L35</f>
        <v>177411.11400000003</v>
      </c>
    </row>
    <row r="114" spans="1:5" x14ac:dyDescent="0.15">
      <c r="A114" s="421" t="s">
        <v>331</v>
      </c>
      <c r="B114" s="431">
        <f>'[1]2nd Interim-Restricted MYP'!E36</f>
        <v>0</v>
      </c>
      <c r="C114" s="431">
        <f>'[1]2nd Interim-Restricted MYP'!H36</f>
        <v>0</v>
      </c>
      <c r="D114" s="431">
        <f>'[1]2nd Interim-Restricted MYP'!J36</f>
        <v>0</v>
      </c>
      <c r="E114" s="431">
        <f>'[1]2nd Interim-Restricted MYP'!L36</f>
        <v>0</v>
      </c>
    </row>
    <row r="115" spans="1:5" x14ac:dyDescent="0.15">
      <c r="A115" s="421" t="s">
        <v>160</v>
      </c>
      <c r="B115" s="431">
        <f>'[1]2nd Interim-Restricted MYP'!E37</f>
        <v>5534159</v>
      </c>
      <c r="C115" s="431">
        <f>'[1]2nd Interim-Restricted MYP'!H37</f>
        <v>5678196</v>
      </c>
      <c r="D115" s="431">
        <f>'[1]2nd Interim-Restricted MYP'!J37</f>
        <v>5227088.03</v>
      </c>
      <c r="E115" s="431">
        <f>'[1]2nd Interim-Restricted MYP'!L37</f>
        <v>5216962.6164000006</v>
      </c>
    </row>
    <row r="116" spans="1:5" x14ac:dyDescent="0.15">
      <c r="A116" s="421"/>
      <c r="B116" s="431"/>
      <c r="C116" s="431"/>
      <c r="D116" s="431"/>
      <c r="E116" s="431"/>
    </row>
    <row r="117" spans="1:5" x14ac:dyDescent="0.15">
      <c r="A117" s="421" t="s">
        <v>333</v>
      </c>
      <c r="B117" s="431"/>
      <c r="C117" s="431">
        <f>'[1]2nd Interim-Assumptions'!G73</f>
        <v>0</v>
      </c>
      <c r="D117" s="431">
        <f>'[1]2nd Interim-Assumptions'!H73</f>
        <v>0</v>
      </c>
      <c r="E117" s="431">
        <f>'[1]2nd Interim-Assumptions'!J73</f>
        <v>0</v>
      </c>
    </row>
    <row r="118" spans="1:5" x14ac:dyDescent="0.15">
      <c r="A118" s="421" t="s">
        <v>334</v>
      </c>
      <c r="B118" s="431"/>
      <c r="C118" s="431">
        <f>'[1]2nd Interim-Assumptions'!G74</f>
        <v>0</v>
      </c>
      <c r="D118" s="431">
        <f>'[1]2nd Interim-Assumptions'!H74</f>
        <v>0</v>
      </c>
      <c r="E118" s="431">
        <f>'[1]2nd Interim-Assumptions'!J74</f>
        <v>0</v>
      </c>
    </row>
    <row r="119" spans="1:5" x14ac:dyDescent="0.15">
      <c r="A119" s="421" t="s">
        <v>335</v>
      </c>
      <c r="B119" s="431"/>
      <c r="C119" s="431">
        <f>'[1]2nd Interim-Assumptions'!G75</f>
        <v>0</v>
      </c>
      <c r="D119" s="431">
        <f>'[1]2nd Interim-Assumptions'!H75</f>
        <v>0</v>
      </c>
      <c r="E119" s="431">
        <f>'[1]2nd Interim-Assumptions'!J75</f>
        <v>0</v>
      </c>
    </row>
    <row r="120" spans="1:5" x14ac:dyDescent="0.15">
      <c r="A120" s="421" t="s">
        <v>336</v>
      </c>
      <c r="B120" s="431"/>
      <c r="C120" s="431">
        <f>'[1]2nd Interim-Assumptions'!G76</f>
        <v>0</v>
      </c>
      <c r="D120" s="431">
        <f>'[1]2nd Interim-Assumptions'!H76</f>
        <v>0</v>
      </c>
      <c r="E120" s="431">
        <f>'[1]2nd Interim-Assumptions'!J76</f>
        <v>0</v>
      </c>
    </row>
    <row r="121" spans="1:5" x14ac:dyDescent="0.15">
      <c r="A121" s="421"/>
      <c r="B121" s="421"/>
      <c r="C121" s="427"/>
      <c r="D121" s="427"/>
      <c r="E121" s="427"/>
    </row>
    <row r="122" spans="1:5" x14ac:dyDescent="0.15">
      <c r="A122" s="421" t="s">
        <v>337</v>
      </c>
      <c r="B122" s="421"/>
      <c r="C122" s="427">
        <f>'[1]2nd Interim-Assumptions'!G82</f>
        <v>708223.32</v>
      </c>
      <c r="D122" s="427">
        <f>'[1]2nd Interim-Assumptions'!H82</f>
        <v>766044.9</v>
      </c>
      <c r="E122" s="427">
        <f>'[1]2nd Interim-Assumptions'!J82</f>
        <v>793066.62</v>
      </c>
    </row>
    <row r="123" spans="1:5" x14ac:dyDescent="0.15">
      <c r="A123" s="421" t="s">
        <v>338</v>
      </c>
      <c r="B123" s="421"/>
      <c r="C123" s="431">
        <f>'[1]2nd Interim-Assumptions'!G83</f>
        <v>0</v>
      </c>
      <c r="D123" s="431">
        <f>'[1]2nd Interim-Assumptions'!H83</f>
        <v>0</v>
      </c>
      <c r="E123" s="431">
        <f>'[1]2nd Interim-Assumptions'!J83</f>
        <v>0</v>
      </c>
    </row>
    <row r="124" spans="1:5" x14ac:dyDescent="0.15">
      <c r="A124" s="421" t="s">
        <v>339</v>
      </c>
      <c r="B124" s="421"/>
      <c r="C124" s="427">
        <f>'[1]2nd Interim-Assumptions'!G84</f>
        <v>0</v>
      </c>
      <c r="D124" s="427">
        <f>'[1]2nd Interim-Assumptions'!H84</f>
        <v>0</v>
      </c>
      <c r="E124" s="427">
        <f>'[1]2nd Interim-Assumptions'!J84</f>
        <v>0</v>
      </c>
    </row>
    <row r="125" spans="1:5" x14ac:dyDescent="0.15">
      <c r="A125" s="421"/>
      <c r="B125" s="421"/>
      <c r="C125" s="427"/>
      <c r="D125" s="427"/>
      <c r="E125" s="427"/>
    </row>
    <row r="126" spans="1:5" x14ac:dyDescent="0.15">
      <c r="A126" s="421" t="s">
        <v>340</v>
      </c>
      <c r="B126" s="421"/>
      <c r="C126" s="427"/>
      <c r="D126" s="427"/>
      <c r="E126" s="427"/>
    </row>
    <row r="127" spans="1:5" x14ac:dyDescent="0.15">
      <c r="A127" s="421" t="str">
        <f>T('[1]2nd Interim-DEBT'!A15)</f>
        <v>State School Building Loans</v>
      </c>
      <c r="B127" s="421"/>
      <c r="C127" s="427">
        <f>'[1]2nd Interim-DEBT'!E15+'[1]2nd Interim-DEBT'!F15</f>
        <v>0</v>
      </c>
      <c r="D127" s="427">
        <f>'[1]2nd Interim-DEBT'!G15+'[1]2nd Interim-DEBT'!H15</f>
        <v>0</v>
      </c>
      <c r="E127" s="427">
        <f>'[1]2nd Interim-DEBT'!I15+'[1]2nd Interim-DEBT'!J15</f>
        <v>0</v>
      </c>
    </row>
    <row r="128" spans="1:5" x14ac:dyDescent="0.15">
      <c r="A128" s="421" t="str">
        <f>T('[1]2nd Interim-DEBT'!A16)</f>
        <v>Charter School Start-up Loans</v>
      </c>
      <c r="B128" s="421"/>
      <c r="C128" s="431">
        <f>'[1]2nd Interim-DEBT'!E16+'[1]2nd Interim-DEBT'!F16</f>
        <v>0</v>
      </c>
      <c r="D128" s="431">
        <f>'[1]2nd Interim-DEBT'!G16+'[1]2nd Interim-DEBT'!H16</f>
        <v>0</v>
      </c>
      <c r="E128" s="431">
        <f>'[1]2nd Interim-DEBT'!I16+'[1]2nd Interim-DEBT'!J16</f>
        <v>0</v>
      </c>
    </row>
    <row r="129" spans="1:5" x14ac:dyDescent="0.15">
      <c r="A129" s="421" t="str">
        <f>T('[1]2nd Interim-DEBT'!A17)</f>
        <v>Other Post Employment Benefits</v>
      </c>
      <c r="B129" s="421"/>
      <c r="C129" s="431">
        <f>'[1]2nd Interim-DEBT'!E17+'[1]2nd Interim-DEBT'!F17</f>
        <v>0</v>
      </c>
      <c r="D129" s="431">
        <f>'[1]2nd Interim-DEBT'!G17+'[1]2nd Interim-DEBT'!H17</f>
        <v>0</v>
      </c>
      <c r="E129" s="431">
        <f>'[1]2nd Interim-DEBT'!I17+'[1]2nd Interim-DEBT'!J17</f>
        <v>0</v>
      </c>
    </row>
    <row r="130" spans="1:5" x14ac:dyDescent="0.15">
      <c r="A130" s="421" t="str">
        <f>T('[1]2nd Interim-DEBT'!A18)</f>
        <v>Compensated Absences</v>
      </c>
      <c r="B130" s="421"/>
      <c r="C130" s="431">
        <f>'[1]2nd Interim-DEBT'!E18+'[1]2nd Interim-DEBT'!F18</f>
        <v>0</v>
      </c>
      <c r="D130" s="431">
        <f>'[1]2nd Interim-DEBT'!G18+'[1]2nd Interim-DEBT'!H18</f>
        <v>0</v>
      </c>
      <c r="E130" s="431">
        <f>'[1]2nd Interim-DEBT'!I18+'[1]2nd Interim-DEBT'!J18</f>
        <v>0</v>
      </c>
    </row>
    <row r="131" spans="1:5" x14ac:dyDescent="0.15">
      <c r="A131" s="421" t="str">
        <f>T('[1]2nd Interim-DEBT'!A19)</f>
        <v>Bank Line of Credit Loans</v>
      </c>
      <c r="B131" s="421"/>
      <c r="C131" s="431">
        <f>'[1]2nd Interim-DEBT'!E19+'[1]2nd Interim-DEBT'!F19</f>
        <v>0</v>
      </c>
      <c r="D131" s="431">
        <f>'[1]2nd Interim-DEBT'!G19+'[1]2nd Interim-DEBT'!H19</f>
        <v>0</v>
      </c>
      <c r="E131" s="431">
        <f>'[1]2nd Interim-DEBT'!I19+'[1]2nd Interim-DEBT'!J19</f>
        <v>0</v>
      </c>
    </row>
    <row r="132" spans="1:5" x14ac:dyDescent="0.15">
      <c r="A132" s="421" t="str">
        <f>T('[1]2nd Interim-DEBT'!A20)</f>
        <v>Municipal Lease</v>
      </c>
      <c r="B132" s="421"/>
      <c r="C132" s="431">
        <f>'[1]2nd Interim-DEBT'!E20+'[1]2nd Interim-DEBT'!F20</f>
        <v>0</v>
      </c>
      <c r="D132" s="431">
        <f>'[1]2nd Interim-DEBT'!G20+'[1]2nd Interim-DEBT'!H20</f>
        <v>0</v>
      </c>
      <c r="E132" s="431">
        <f>'[1]2nd Interim-DEBT'!I20+'[1]2nd Interim-DEBT'!J20</f>
        <v>0</v>
      </c>
    </row>
    <row r="133" spans="1:5" x14ac:dyDescent="0.15">
      <c r="A133" s="421" t="str">
        <f>T('[1]2nd Interim-DEBT'!A21)</f>
        <v>Capital Lease</v>
      </c>
      <c r="B133" s="421"/>
      <c r="C133" s="431">
        <f>'[1]2nd Interim-DEBT'!E21+'[1]2nd Interim-DEBT'!F21</f>
        <v>0</v>
      </c>
      <c r="D133" s="431">
        <f>'[1]2nd Interim-DEBT'!G21+'[1]2nd Interim-DEBT'!H21</f>
        <v>0</v>
      </c>
      <c r="E133" s="431">
        <f>'[1]2nd Interim-DEBT'!I21+'[1]2nd Interim-DEBT'!J21</f>
        <v>0</v>
      </c>
    </row>
    <row r="134" spans="1:5" x14ac:dyDescent="0.15">
      <c r="A134" s="421" t="str">
        <f>T('[1]2nd Interim-DEBT'!A22)</f>
        <v>Capital Lease</v>
      </c>
      <c r="B134" s="421"/>
      <c r="C134" s="431">
        <f>'[1]2nd Interim-DEBT'!E22+'[1]2nd Interim-DEBT'!F22</f>
        <v>0</v>
      </c>
      <c r="D134" s="431">
        <f>'[1]2nd Interim-DEBT'!G22+'[1]2nd Interim-DEBT'!H22</f>
        <v>0</v>
      </c>
      <c r="E134" s="431">
        <f>'[1]2nd Interim-DEBT'!I22+'[1]2nd Interim-DEBT'!J22</f>
        <v>0</v>
      </c>
    </row>
    <row r="135" spans="1:5" x14ac:dyDescent="0.15">
      <c r="A135" s="421" t="str">
        <f>T('[1]2nd Interim-DEBT'!A23)</f>
        <v>Capital Lease</v>
      </c>
      <c r="B135" s="421"/>
      <c r="C135" s="431">
        <f>'[1]2nd Interim-DEBT'!E23+'[1]2nd Interim-DEBT'!F23</f>
        <v>0</v>
      </c>
      <c r="D135" s="431">
        <f>'[1]2nd Interim-DEBT'!G23+'[1]2nd Interim-DEBT'!H23</f>
        <v>0</v>
      </c>
      <c r="E135" s="431">
        <f>'[1]2nd Interim-DEBT'!I23+'[1]2nd Interim-DEBT'!J23</f>
        <v>0</v>
      </c>
    </row>
    <row r="136" spans="1:5" x14ac:dyDescent="0.15">
      <c r="A136" s="421" t="str">
        <f>T('[1]2nd Interim-DEBT'!A24)</f>
        <v>Inter-Agency Borrowing</v>
      </c>
      <c r="B136" s="421"/>
      <c r="C136" s="431">
        <f>'[1]2nd Interim-DEBT'!E24+'[1]2nd Interim-DEBT'!F24</f>
        <v>0</v>
      </c>
      <c r="D136" s="431">
        <f>'[1]2nd Interim-DEBT'!G24+'[1]2nd Interim-DEBT'!H24</f>
        <v>0</v>
      </c>
      <c r="E136" s="431">
        <f>'[1]2nd Interim-DEBT'!I24+'[1]2nd Interim-DEBT'!J24</f>
        <v>0</v>
      </c>
    </row>
    <row r="137" spans="1:5" x14ac:dyDescent="0.15">
      <c r="A137" s="421" t="str">
        <f>T('[1]2nd Interim-DEBT'!A25)</f>
        <v>Other</v>
      </c>
      <c r="B137" s="421"/>
      <c r="C137" s="431">
        <f>'[1]2nd Interim-DEBT'!E25+'[1]2nd Interim-DEBT'!F25</f>
        <v>0</v>
      </c>
      <c r="D137" s="431">
        <f>'[1]2nd Interim-DEBT'!G25+'[1]2nd Interim-DEBT'!H25</f>
        <v>0</v>
      </c>
      <c r="E137" s="431">
        <f>'[1]2nd Interim-DEBT'!I25+'[1]2nd Interim-DEBT'!J25</f>
        <v>0</v>
      </c>
    </row>
    <row r="138" spans="1:5" x14ac:dyDescent="0.15">
      <c r="A138" s="421" t="str">
        <f>T('[1]2nd Interim-DEBT'!A26)</f>
        <v/>
      </c>
      <c r="B138" s="421"/>
      <c r="C138" s="437"/>
      <c r="D138" s="437"/>
      <c r="E138" s="437"/>
    </row>
    <row r="139" spans="1:5" x14ac:dyDescent="0.15">
      <c r="A139" s="421" t="s">
        <v>341</v>
      </c>
      <c r="B139" s="421"/>
      <c r="C139" s="437"/>
      <c r="D139" s="437"/>
      <c r="E139" s="437"/>
    </row>
    <row r="140" spans="1:5" x14ac:dyDescent="0.15">
      <c r="A140" s="421" t="s">
        <v>91</v>
      </c>
      <c r="B140" s="421"/>
      <c r="C140" s="431">
        <f>'[1]2nd Interim-Cash Flow Year 1'!E6</f>
        <v>11002828</v>
      </c>
      <c r="D140" s="431">
        <f>'[1]2nd Interim-Cash Flow Year 2'!E6</f>
        <v>19191617.785714287</v>
      </c>
      <c r="E140" s="421"/>
    </row>
    <row r="141" spans="1:5" x14ac:dyDescent="0.15">
      <c r="A141" s="421" t="s">
        <v>93</v>
      </c>
      <c r="B141" s="421"/>
      <c r="C141" s="431">
        <f>'[1]2nd Interim-Cash Flow Year 1'!E60</f>
        <v>16301936</v>
      </c>
      <c r="D141" s="431">
        <f>'[1]2nd Interim-Cash Flow Year 2'!E60</f>
        <v>15031546.694307769</v>
      </c>
      <c r="E141" s="421"/>
    </row>
    <row r="142" spans="1:5" x14ac:dyDescent="0.15">
      <c r="A142" s="421" t="s">
        <v>94</v>
      </c>
      <c r="B142" s="421"/>
      <c r="C142" s="431">
        <f>'[1]2nd Interim-Cash Flow Year 1'!G60</f>
        <v>15368447</v>
      </c>
      <c r="D142" s="431">
        <f>'[1]2nd Interim-Cash Flow Year 2'!G60</f>
        <v>14330875.443072656</v>
      </c>
      <c r="E142" s="421"/>
    </row>
    <row r="143" spans="1:5" x14ac:dyDescent="0.15">
      <c r="A143" s="421" t="s">
        <v>95</v>
      </c>
      <c r="B143" s="421"/>
      <c r="C143" s="427">
        <f>'[1]2nd Interim-Cash Flow Year 1'!I60</f>
        <v>14117933</v>
      </c>
      <c r="D143" s="427">
        <f>'[1]2nd Interim-Cash Flow Year 2'!I60</f>
        <v>13800885.967885543</v>
      </c>
      <c r="E143" s="421"/>
    </row>
    <row r="144" spans="1:5" x14ac:dyDescent="0.15">
      <c r="A144" s="421" t="s">
        <v>96</v>
      </c>
      <c r="B144" s="421"/>
      <c r="C144" s="427">
        <f>'[1]2nd Interim-Cash Flow Year 1'!K60</f>
        <v>14808236</v>
      </c>
      <c r="D144" s="427">
        <f>'[1]2nd Interim-Cash Flow Year 2'!K60</f>
        <v>14333852.24282393</v>
      </c>
      <c r="E144" s="421"/>
    </row>
    <row r="145" spans="1:5" x14ac:dyDescent="0.15">
      <c r="A145" s="421" t="s">
        <v>97</v>
      </c>
      <c r="B145" s="421"/>
      <c r="C145" s="427">
        <f>'[1]2nd Interim-Cash Flow Year 1'!M60</f>
        <v>15252988</v>
      </c>
      <c r="D145" s="427">
        <f>'[1]2nd Interim-Cash Flow Year 2'!M60</f>
        <v>14770466.116636818</v>
      </c>
      <c r="E145" s="421"/>
    </row>
    <row r="146" spans="1:5" x14ac:dyDescent="0.15">
      <c r="A146" s="421" t="s">
        <v>98</v>
      </c>
      <c r="B146" s="421"/>
      <c r="C146" s="427">
        <f>'[1]2nd Interim-Cash Flow Year 1'!O60</f>
        <v>15683686</v>
      </c>
      <c r="D146" s="427">
        <f>'[1]2nd Interim-Cash Flow Year 2'!O60</f>
        <v>15412543.025449706</v>
      </c>
      <c r="E146" s="421"/>
    </row>
    <row r="147" spans="1:5" x14ac:dyDescent="0.15">
      <c r="A147" s="421" t="s">
        <v>99</v>
      </c>
      <c r="B147" s="421"/>
      <c r="C147" s="427">
        <f>'[1]2nd Interim-Cash Flow Year 1'!Q60</f>
        <v>17340976</v>
      </c>
      <c r="D147" s="427">
        <f>'[1]2nd Interim-Cash Flow Year 2'!Q60</f>
        <v>15484044.284909923</v>
      </c>
      <c r="E147" s="421"/>
    </row>
    <row r="148" spans="1:5" x14ac:dyDescent="0.15">
      <c r="A148" s="421" t="s">
        <v>100</v>
      </c>
      <c r="B148" s="421"/>
      <c r="C148" s="427">
        <f>'[1]2nd Interim-Cash Flow Year 1'!S60</f>
        <v>17268892.057142857</v>
      </c>
      <c r="D148" s="427">
        <f>'[1]2nd Interim-Cash Flow Year 2'!S60</f>
        <v>15870426.835624591</v>
      </c>
      <c r="E148" s="421"/>
    </row>
    <row r="149" spans="1:5" x14ac:dyDescent="0.15">
      <c r="A149" s="421" t="s">
        <v>101</v>
      </c>
      <c r="B149" s="421"/>
      <c r="C149" s="427">
        <f>'[1]2nd Interim-Cash Flow Year 1'!U60</f>
        <v>17461290.114285715</v>
      </c>
      <c r="D149" s="427">
        <f>'[1]2nd Interim-Cash Flow Year 2'!U60</f>
        <v>16462272.421339259</v>
      </c>
      <c r="E149" s="421"/>
    </row>
    <row r="150" spans="1:5" x14ac:dyDescent="0.15">
      <c r="A150" s="421" t="s">
        <v>102</v>
      </c>
      <c r="B150" s="421"/>
      <c r="C150" s="427">
        <f>'[1]2nd Interim-Cash Flow Year 1'!W60</f>
        <v>17751873.171428572</v>
      </c>
      <c r="D150" s="427">
        <f>'[1]2nd Interim-Cash Flow Year 2'!W60</f>
        <v>16982981.554799475</v>
      </c>
      <c r="E150" s="421"/>
    </row>
    <row r="151" spans="1:5" x14ac:dyDescent="0.15">
      <c r="A151" s="421" t="s">
        <v>103</v>
      </c>
      <c r="B151" s="421"/>
      <c r="C151" s="427">
        <f>'[1]2nd Interim-Cash Flow Year 1'!Y60</f>
        <v>17742456.22857143</v>
      </c>
      <c r="D151" s="427">
        <f>'[1]2nd Interim-Cash Flow Year 2'!Y60</f>
        <v>17369364.105514143</v>
      </c>
      <c r="E151" s="421"/>
    </row>
    <row r="152" spans="1:5" x14ac:dyDescent="0.15">
      <c r="A152" s="421" t="s">
        <v>104</v>
      </c>
      <c r="B152" s="421"/>
      <c r="C152" s="427">
        <f>'[1]2nd Interim-Cash Flow Year 1'!AA60</f>
        <v>19191617.785714287</v>
      </c>
      <c r="D152" s="427">
        <f>'[1]2nd Interim-Cash Flow Year 2'!AA60</f>
        <v>18334583.656228811</v>
      </c>
      <c r="E152" s="421"/>
    </row>
    <row r="153" spans="1:5" x14ac:dyDescent="0.15">
      <c r="C153" s="417"/>
      <c r="D153" s="417"/>
    </row>
    <row r="154" spans="1:5" x14ac:dyDescent="0.15">
      <c r="C154" s="417"/>
      <c r="D154" s="417"/>
    </row>
  </sheetData>
  <conditionalFormatting sqref="A77">
    <cfRule type="expression" dxfId="1" priority="1">
      <formula>$E$87=""</formula>
    </cfRule>
  </conditionalFormatting>
  <conditionalFormatting sqref="A78">
    <cfRule type="expression" dxfId="0" priority="2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DD9-8253-4A74-8DDB-AB68A5776ED1}">
  <sheetPr>
    <tabColor theme="0" tint="-0.499984740745262"/>
  </sheetPr>
  <dimension ref="A1:A16"/>
  <sheetViews>
    <sheetView workbookViewId="0"/>
  </sheetViews>
  <sheetFormatPr baseColWidth="10" defaultColWidth="9.1640625" defaultRowHeight="13" x14ac:dyDescent="0.15"/>
  <cols>
    <col min="1" max="1" width="150.6640625" customWidth="1"/>
  </cols>
  <sheetData>
    <row r="1" spans="1:1" x14ac:dyDescent="0.15">
      <c r="A1" s="85" t="s">
        <v>130</v>
      </c>
    </row>
    <row r="2" spans="1:1" x14ac:dyDescent="0.15">
      <c r="A2" s="85" t="s">
        <v>127</v>
      </c>
    </row>
    <row r="3" spans="1:1" x14ac:dyDescent="0.15">
      <c r="A3" s="85" t="s">
        <v>128</v>
      </c>
    </row>
    <row r="4" spans="1:1" x14ac:dyDescent="0.15">
      <c r="A4" s="85" t="s">
        <v>129</v>
      </c>
    </row>
    <row r="6" spans="1:1" x14ac:dyDescent="0.15">
      <c r="A6" s="85" t="s">
        <v>132</v>
      </c>
    </row>
    <row r="7" spans="1:1" x14ac:dyDescent="0.15">
      <c r="A7" s="85" t="s">
        <v>113</v>
      </c>
    </row>
    <row r="8" spans="1:1" x14ac:dyDescent="0.15">
      <c r="A8" s="85" t="s">
        <v>115</v>
      </c>
    </row>
    <row r="10" spans="1:1" x14ac:dyDescent="0.15">
      <c r="A10" s="85" t="s">
        <v>130</v>
      </c>
    </row>
    <row r="11" spans="1:1" ht="16" x14ac:dyDescent="0.2">
      <c r="A11" s="1" t="s">
        <v>8</v>
      </c>
    </row>
    <row r="12" spans="1:1" ht="16" x14ac:dyDescent="0.2">
      <c r="A12" s="1" t="s">
        <v>10</v>
      </c>
    </row>
    <row r="13" spans="1:1" ht="16" x14ac:dyDescent="0.2">
      <c r="A13" s="1" t="s">
        <v>12</v>
      </c>
    </row>
    <row r="15" spans="1:1" ht="16" x14ac:dyDescent="0.15">
      <c r="A15" s="174" t="s">
        <v>190</v>
      </c>
    </row>
    <row r="16" spans="1:1" ht="16" x14ac:dyDescent="0.15">
      <c r="A16" s="174" t="s">
        <v>191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Patrick Leier</cp:lastModifiedBy>
  <cp:revision/>
  <cp:lastPrinted>2022-10-07T22:58:44Z</cp:lastPrinted>
  <dcterms:created xsi:type="dcterms:W3CDTF">2005-05-06T21:06:28Z</dcterms:created>
  <dcterms:modified xsi:type="dcterms:W3CDTF">2023-03-15T00:32:21Z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