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Imarticus Learning\Github\sureshkumar1050\"/>
    </mc:Choice>
  </mc:AlternateContent>
  <xr:revisionPtr revIDLastSave="0" documentId="13_ncr:1_{4BFEE8CF-6518-45C2-9D23-AC151D6DAB2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IVOT Table Analysis" sheetId="3" r:id="rId1"/>
    <sheet name="ScooterSales Data" sheetId="1" r:id="rId2"/>
    <sheet name="Dashboard" sheetId="2" r:id="rId3"/>
  </sheets>
  <definedNames>
    <definedName name="_xlnm._FilterDatabase" localSheetId="1" hidden="1">'ScooterSales Data'!$B$1:$G$21</definedName>
    <definedName name="_xlchart.v1.0" hidden="1">'ScooterSales Data'!$K$17:$K$24</definedName>
    <definedName name="_xlchart.v1.1" hidden="1">'ScooterSales Data'!$L$17:$L$24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55" i="1"/>
  <c r="F56" i="1"/>
  <c r="F57" i="1"/>
  <c r="F60" i="1"/>
  <c r="F61" i="1"/>
  <c r="F64" i="1"/>
  <c r="E27" i="1"/>
  <c r="F27" i="1"/>
  <c r="G27" i="1"/>
  <c r="D27" i="1"/>
  <c r="E26" i="1"/>
  <c r="F26" i="1"/>
  <c r="G26" i="1"/>
  <c r="D26" i="1"/>
  <c r="E25" i="1"/>
  <c r="F25" i="1"/>
  <c r="G25" i="1"/>
  <c r="D25" i="1"/>
  <c r="E24" i="1"/>
  <c r="F24" i="1"/>
  <c r="G24" i="1"/>
  <c r="D24" i="1"/>
  <c r="J6" i="1"/>
  <c r="J7" i="1"/>
  <c r="J8" i="1"/>
  <c r="J9" i="1"/>
  <c r="J10" i="1"/>
  <c r="J11" i="1"/>
  <c r="J12" i="1"/>
  <c r="J5" i="1"/>
  <c r="E42" i="1"/>
  <c r="I31" i="1"/>
  <c r="H31" i="1"/>
  <c r="G31" i="1"/>
  <c r="F31" i="1"/>
  <c r="M32" i="1"/>
  <c r="M33" i="1"/>
  <c r="M34" i="1"/>
  <c r="M35" i="1"/>
  <c r="M36" i="1"/>
  <c r="M37" i="1"/>
  <c r="M38" i="1"/>
  <c r="M31" i="1"/>
  <c r="L32" i="1"/>
  <c r="L33" i="1"/>
  <c r="L34" i="1"/>
  <c r="L35" i="1"/>
  <c r="L36" i="1"/>
  <c r="L37" i="1"/>
  <c r="L38" i="1"/>
  <c r="L31" i="1"/>
  <c r="R32" i="1"/>
  <c r="R33" i="1"/>
  <c r="R34" i="1"/>
  <c r="R35" i="1"/>
  <c r="R36" i="1"/>
  <c r="R37" i="1"/>
  <c r="R38" i="1"/>
  <c r="R31" i="1"/>
  <c r="Q32" i="1"/>
  <c r="Q33" i="1"/>
  <c r="Q34" i="1"/>
  <c r="Q35" i="1"/>
  <c r="Q36" i="1"/>
  <c r="Q37" i="1"/>
  <c r="Q38" i="1"/>
  <c r="Q31" i="1"/>
  <c r="K45" i="1"/>
  <c r="K42" i="1"/>
  <c r="S24" i="1"/>
  <c r="L24" i="1"/>
  <c r="S23" i="1"/>
  <c r="L23" i="1"/>
  <c r="S22" i="1"/>
  <c r="L22" i="1"/>
  <c r="S21" i="1"/>
  <c r="L21" i="1"/>
  <c r="S20" i="1"/>
  <c r="L20" i="1"/>
  <c r="S19" i="1"/>
  <c r="L19" i="1"/>
  <c r="S18" i="1"/>
  <c r="L18" i="1"/>
  <c r="S17" i="1"/>
  <c r="L17" i="1"/>
  <c r="M12" i="1"/>
  <c r="M11" i="1"/>
  <c r="M10" i="1"/>
  <c r="M9" i="1"/>
  <c r="M8" i="1"/>
  <c r="M7" i="1"/>
  <c r="Q7" i="1"/>
  <c r="M6" i="1"/>
  <c r="Q6" i="1"/>
  <c r="M5" i="1"/>
</calcChain>
</file>

<file path=xl/sharedStrings.xml><?xml version="1.0" encoding="utf-8"?>
<sst xmlns="http://schemas.openxmlformats.org/spreadsheetml/2006/main" count="181" uniqueCount="103">
  <si>
    <t>Name</t>
  </si>
  <si>
    <t>State</t>
  </si>
  <si>
    <t>No. Clients</t>
  </si>
  <si>
    <t>Sales</t>
  </si>
  <si>
    <t>Max Item Value</t>
  </si>
  <si>
    <t>Commission</t>
  </si>
  <si>
    <t>Alex</t>
  </si>
  <si>
    <t>NY</t>
  </si>
  <si>
    <t>Ben</t>
  </si>
  <si>
    <t>NJ</t>
  </si>
  <si>
    <t>No of SalesPerson Statewise</t>
  </si>
  <si>
    <t>Total Revenue of Sales Over $ 500</t>
  </si>
  <si>
    <t>Frank</t>
  </si>
  <si>
    <t>CA</t>
  </si>
  <si>
    <t>Deshawn</t>
  </si>
  <si>
    <t xml:space="preserve">No of Revenue over $ 500 </t>
  </si>
  <si>
    <t>Mike</t>
  </si>
  <si>
    <t>MA</t>
  </si>
  <si>
    <t>Total Value of Revenue</t>
  </si>
  <si>
    <t>Rachel</t>
  </si>
  <si>
    <t>TX</t>
  </si>
  <si>
    <t>Bill</t>
  </si>
  <si>
    <t>Stephan</t>
  </si>
  <si>
    <t>Jill A.</t>
  </si>
  <si>
    <t>VT</t>
  </si>
  <si>
    <t>Mark C.</t>
  </si>
  <si>
    <t>AZ</t>
  </si>
  <si>
    <t>Alejandro</t>
  </si>
  <si>
    <t>CT</t>
  </si>
  <si>
    <t>Sarah</t>
  </si>
  <si>
    <t>Amy</t>
  </si>
  <si>
    <t>Josh</t>
  </si>
  <si>
    <t>Total Revenue of Each State Sales</t>
  </si>
  <si>
    <t xml:space="preserve">Average Sales per Salesperson in Each State </t>
  </si>
  <si>
    <t>Reggie</t>
  </si>
  <si>
    <t>Jennifer</t>
  </si>
  <si>
    <t>Matt</t>
  </si>
  <si>
    <t>Laurel</t>
  </si>
  <si>
    <t>Russel</t>
  </si>
  <si>
    <t>Mark R.</t>
  </si>
  <si>
    <t>States</t>
  </si>
  <si>
    <t>Max Sales Overall</t>
  </si>
  <si>
    <t>Min Sales Overall</t>
  </si>
  <si>
    <t>Client &lt; 2</t>
  </si>
  <si>
    <t>Client &gt; 3</t>
  </si>
  <si>
    <t>Salesperson in each State Having  Less Client and High Client</t>
  </si>
  <si>
    <t xml:space="preserve"> </t>
  </si>
  <si>
    <t>State Wise Minimum Sales &amp; Maximum Sales</t>
  </si>
  <si>
    <t>Max</t>
  </si>
  <si>
    <t>Min</t>
  </si>
  <si>
    <t>Commission Value Analysis Using Data Validation</t>
  </si>
  <si>
    <t>Average Sales Per Client By State Wise</t>
  </si>
  <si>
    <t>(All)</t>
  </si>
  <si>
    <t>Column Labels</t>
  </si>
  <si>
    <t>Grand Total</t>
  </si>
  <si>
    <t>Row Labels</t>
  </si>
  <si>
    <t>Sum of Sales</t>
  </si>
  <si>
    <t>Total Sum of Sales</t>
  </si>
  <si>
    <t>Total Sum of Avg. Sales per Client</t>
  </si>
  <si>
    <t>Sum of Avg. Sales per Client</t>
  </si>
  <si>
    <t>Total Sum of Commission</t>
  </si>
  <si>
    <t>Sum of Commission</t>
  </si>
  <si>
    <t>No of Client / State</t>
  </si>
  <si>
    <t>Client</t>
  </si>
  <si>
    <t>Correlation Analysis</t>
  </si>
  <si>
    <t>Correlation B/w Sales and Comission</t>
  </si>
  <si>
    <t>Correlation B/w Sales and Avg.Sales</t>
  </si>
  <si>
    <t>Correlations B/W Sales and No.of Clients</t>
  </si>
  <si>
    <t>Correlation B/W Sales and Max Value Item</t>
  </si>
  <si>
    <t>Correlation B/W Comm. And Avg.Sales/Client</t>
  </si>
  <si>
    <t>Correlation B/W Comm. And Max Value Item</t>
  </si>
  <si>
    <t>Correlation B/W Comm. And No.of Client</t>
  </si>
  <si>
    <t>Correlation B/W Max.Value Item and No.of Client</t>
  </si>
  <si>
    <t>Correlation B/W Max.Value Item and Avg.Sales/Client</t>
  </si>
  <si>
    <t>Correlation B/W No.of Client and Avg.Sales</t>
  </si>
  <si>
    <t>Sales (in $)</t>
  </si>
  <si>
    <t>Avg. Sales per Client( in $)</t>
  </si>
  <si>
    <t>Commission( in $)</t>
  </si>
  <si>
    <t>(in $)</t>
  </si>
  <si>
    <t>Average Sales (in $)</t>
  </si>
  <si>
    <t>Max ( in $)</t>
  </si>
  <si>
    <t>Min( in $)</t>
  </si>
  <si>
    <t>Total Commission / State( in $)</t>
  </si>
  <si>
    <t>Average( in $)</t>
  </si>
  <si>
    <t>Min Comm.( in $)</t>
  </si>
  <si>
    <t>Avg.Sales ( in $)</t>
  </si>
  <si>
    <t>Interpreted Value</t>
  </si>
  <si>
    <t>Mean</t>
  </si>
  <si>
    <t>Sum</t>
  </si>
  <si>
    <t>Column1</t>
  </si>
  <si>
    <t>Column3</t>
  </si>
  <si>
    <t>Statistics</t>
  </si>
  <si>
    <t>Max Value</t>
  </si>
  <si>
    <t>Avg.Sales</t>
  </si>
  <si>
    <t>Sales Person</t>
  </si>
  <si>
    <t>Value</t>
  </si>
  <si>
    <t>Parameter</t>
  </si>
  <si>
    <t>Revenue (in $)</t>
  </si>
  <si>
    <t>Min Comm.( in $)2</t>
  </si>
  <si>
    <t>Correlation</t>
  </si>
  <si>
    <t>.</t>
  </si>
  <si>
    <t>-</t>
  </si>
  <si>
    <t xml:space="preserve"> Electric Scooter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</si>
</sst>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44" fontId="5" fillId="0" borderId="0" xfId="1" applyFont="1"/>
    <xf numFmtId="164" fontId="5" fillId="0" borderId="0" xfId="1" applyNumberFormat="1" applyFont="1"/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5" fillId="0" borderId="0" xfId="1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1" defaultTableStyle="TableStyleMedium2" defaultPivotStyle="PivotStyleLight16">
    <tableStyle name="Table Style 1" pivot="0" count="0" xr9:uid="{AD321CCF-8742-43C4-BFF2-0BC4D47F49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Scooter.xlsx]PIVOT Table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 Analysis'!$B$4:$B$6</c:f>
              <c:strCache>
                <c:ptCount val="1"/>
                <c:pt idx="0">
                  <c:v>Sum of Sales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Analysis'!$B$7:$B$17</c:f>
              <c:numCache>
                <c:formatCode>General</c:formatCode>
                <c:ptCount val="10"/>
                <c:pt idx="1">
                  <c:v>1097.9000000000001</c:v>
                </c:pt>
                <c:pt idx="2">
                  <c:v>709.16</c:v>
                </c:pt>
                <c:pt idx="3">
                  <c:v>964.69</c:v>
                </c:pt>
                <c:pt idx="7">
                  <c:v>911.44</c:v>
                </c:pt>
                <c:pt idx="9">
                  <c:v>910.29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6-4BCB-8CD9-8DDC7F88A8CB}"/>
            </c:ext>
          </c:extLst>
        </c:ser>
        <c:ser>
          <c:idx val="1"/>
          <c:order val="1"/>
          <c:tx>
            <c:strRef>
              <c:f>'PIVOT Table Analysis'!$C$4:$C$6</c:f>
              <c:strCache>
                <c:ptCount val="1"/>
                <c:pt idx="0">
                  <c:v>Sum of Sales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Analysis'!$C$7:$C$17</c:f>
              <c:numCache>
                <c:formatCode>General</c:formatCode>
                <c:ptCount val="10"/>
                <c:pt idx="3">
                  <c:v>631.69000000000005</c:v>
                </c:pt>
                <c:pt idx="4">
                  <c:v>1336.68</c:v>
                </c:pt>
                <c:pt idx="5">
                  <c:v>1110.9000000000001</c:v>
                </c:pt>
                <c:pt idx="6">
                  <c:v>893.89</c:v>
                </c:pt>
                <c:pt idx="7">
                  <c:v>1794.92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6-4BCB-8CD9-8DDC7F88A8CB}"/>
            </c:ext>
          </c:extLst>
        </c:ser>
        <c:ser>
          <c:idx val="2"/>
          <c:order val="2"/>
          <c:tx>
            <c:strRef>
              <c:f>'PIVOT Table Analysis'!$D$4:$D$6</c:f>
              <c:strCache>
                <c:ptCount val="1"/>
                <c:pt idx="0">
                  <c:v>Sum of Sales - 3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Analysis'!$D$7:$D$17</c:f>
              <c:numCache>
                <c:formatCode>General</c:formatCode>
                <c:ptCount val="10"/>
                <c:pt idx="5">
                  <c:v>831.28</c:v>
                </c:pt>
                <c:pt idx="6">
                  <c:v>1198.9100000000001</c:v>
                </c:pt>
                <c:pt idx="8">
                  <c:v>1666.61</c:v>
                </c:pt>
                <c:pt idx="9">
                  <c:v>4404.63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6-4BCB-8CD9-8DDC7F88A8CB}"/>
            </c:ext>
          </c:extLst>
        </c:ser>
        <c:ser>
          <c:idx val="3"/>
          <c:order val="3"/>
          <c:tx>
            <c:strRef>
              <c:f>'PIVOT Table Analysis'!$E$4:$E$6</c:f>
              <c:strCache>
                <c:ptCount val="1"/>
                <c:pt idx="0">
                  <c:v>Sum of Sales - 4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Analysis'!$E$7:$E$17</c:f>
              <c:numCache>
                <c:formatCode>General</c:formatCode>
                <c:ptCount val="10"/>
                <c:pt idx="0">
                  <c:v>557.85</c:v>
                </c:pt>
                <c:pt idx="2">
                  <c:v>195.45</c:v>
                </c:pt>
                <c:pt idx="3">
                  <c:v>877.2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3F6-4BCB-8CD9-8DDC7F88A8CB}"/>
            </c:ext>
          </c:extLst>
        </c:ser>
        <c:ser>
          <c:idx val="4"/>
          <c:order val="4"/>
          <c:tx>
            <c:strRef>
              <c:f>'PIVOT Table Analysis'!$F$4:$F$6</c:f>
              <c:strCache>
                <c:ptCount val="1"/>
                <c:pt idx="0">
                  <c:v>Sum of Avg. Sales per Client - 1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Analysis'!$F$7:$F$17</c:f>
              <c:numCache>
                <c:formatCode>General</c:formatCode>
                <c:ptCount val="10"/>
                <c:pt idx="1">
                  <c:v>1097.9000000000001</c:v>
                </c:pt>
                <c:pt idx="2">
                  <c:v>709.16</c:v>
                </c:pt>
                <c:pt idx="3">
                  <c:v>964.69</c:v>
                </c:pt>
                <c:pt idx="7">
                  <c:v>911.44</c:v>
                </c:pt>
                <c:pt idx="9">
                  <c:v>910.29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3F6-4BCB-8CD9-8DDC7F88A8CB}"/>
            </c:ext>
          </c:extLst>
        </c:ser>
        <c:ser>
          <c:idx val="5"/>
          <c:order val="5"/>
          <c:tx>
            <c:strRef>
              <c:f>'PIVOT Table Analysis'!$G$4:$G$6</c:f>
              <c:strCache>
                <c:ptCount val="1"/>
                <c:pt idx="0">
                  <c:v>Sum of Avg. Sales per Client - 2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Analysis'!$G$7:$G$17</c:f>
              <c:numCache>
                <c:formatCode>General</c:formatCode>
                <c:ptCount val="10"/>
                <c:pt idx="3">
                  <c:v>315.84500000000003</c:v>
                </c:pt>
                <c:pt idx="4">
                  <c:v>668.34</c:v>
                </c:pt>
                <c:pt idx="5">
                  <c:v>555.45000000000005</c:v>
                </c:pt>
                <c:pt idx="6">
                  <c:v>446.94499999999999</c:v>
                </c:pt>
                <c:pt idx="7">
                  <c:v>897.46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3F6-4BCB-8CD9-8DDC7F88A8CB}"/>
            </c:ext>
          </c:extLst>
        </c:ser>
        <c:ser>
          <c:idx val="6"/>
          <c:order val="6"/>
          <c:tx>
            <c:strRef>
              <c:f>'PIVOT Table Analysis'!$H$4:$H$6</c:f>
              <c:strCache>
                <c:ptCount val="1"/>
                <c:pt idx="0">
                  <c:v>Sum of Avg. Sales per Client - 3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Analysis'!$H$7:$H$17</c:f>
              <c:numCache>
                <c:formatCode>General</c:formatCode>
                <c:ptCount val="10"/>
                <c:pt idx="5">
                  <c:v>277.09333329999998</c:v>
                </c:pt>
                <c:pt idx="6">
                  <c:v>399.63666669999998</c:v>
                </c:pt>
                <c:pt idx="8">
                  <c:v>555.53666669999996</c:v>
                </c:pt>
                <c:pt idx="9">
                  <c:v>1468.21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3F6-4BCB-8CD9-8DDC7F88A8CB}"/>
            </c:ext>
          </c:extLst>
        </c:ser>
        <c:ser>
          <c:idx val="7"/>
          <c:order val="7"/>
          <c:tx>
            <c:strRef>
              <c:f>'PIVOT Table Analysis'!$I$4:$I$6</c:f>
              <c:strCache>
                <c:ptCount val="1"/>
                <c:pt idx="0">
                  <c:v>Sum of Avg. Sales per Client - 4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Analysis'!$I$7:$I$17</c:f>
              <c:numCache>
                <c:formatCode>General</c:formatCode>
                <c:ptCount val="10"/>
                <c:pt idx="0">
                  <c:v>139.46250000000001</c:v>
                </c:pt>
                <c:pt idx="2">
                  <c:v>48.862499999999997</c:v>
                </c:pt>
                <c:pt idx="3">
                  <c:v>219.3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3F6-4BCB-8CD9-8DDC7F88A8CB}"/>
            </c:ext>
          </c:extLst>
        </c:ser>
        <c:ser>
          <c:idx val="8"/>
          <c:order val="8"/>
          <c:tx>
            <c:strRef>
              <c:f>'PIVOT Table Analysis'!$J$4:$J$6</c:f>
              <c:strCache>
                <c:ptCount val="1"/>
                <c:pt idx="0">
                  <c:v>Sum of Commission - 1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Analysis'!$J$7:$J$17</c:f>
              <c:numCache>
                <c:formatCode>General</c:formatCode>
                <c:ptCount val="10"/>
                <c:pt idx="1">
                  <c:v>109.78999999999999</c:v>
                </c:pt>
                <c:pt idx="2">
                  <c:v>70.915999999999997</c:v>
                </c:pt>
                <c:pt idx="3">
                  <c:v>96.468999999999994</c:v>
                </c:pt>
                <c:pt idx="7">
                  <c:v>91.144000000000005</c:v>
                </c:pt>
                <c:pt idx="9">
                  <c:v>91.028999999999996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3F6-4BCB-8CD9-8DDC7F88A8CB}"/>
            </c:ext>
          </c:extLst>
        </c:ser>
        <c:ser>
          <c:idx val="9"/>
          <c:order val="9"/>
          <c:tx>
            <c:strRef>
              <c:f>'PIVOT Table Analysis'!$K$4:$K$6</c:f>
              <c:strCache>
                <c:ptCount val="1"/>
                <c:pt idx="0">
                  <c:v>Sum of Commission - 2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Analysis'!$K$7:$K$17</c:f>
              <c:numCache>
                <c:formatCode>General</c:formatCode>
                <c:ptCount val="10"/>
                <c:pt idx="3">
                  <c:v>63.168999999999997</c:v>
                </c:pt>
                <c:pt idx="4">
                  <c:v>133.66800000000001</c:v>
                </c:pt>
                <c:pt idx="5">
                  <c:v>111.09</c:v>
                </c:pt>
                <c:pt idx="6">
                  <c:v>89.388999999999996</c:v>
                </c:pt>
                <c:pt idx="7">
                  <c:v>179.49199999999999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3F6-4BCB-8CD9-8DDC7F88A8CB}"/>
            </c:ext>
          </c:extLst>
        </c:ser>
        <c:ser>
          <c:idx val="10"/>
          <c:order val="10"/>
          <c:tx>
            <c:strRef>
              <c:f>'PIVOT Table Analysis'!$L$4:$L$6</c:f>
              <c:strCache>
                <c:ptCount val="1"/>
                <c:pt idx="0">
                  <c:v>Sum of Commission - 3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Analysis'!$L$7:$L$17</c:f>
              <c:numCache>
                <c:formatCode>General</c:formatCode>
                <c:ptCount val="10"/>
                <c:pt idx="5">
                  <c:v>83.128</c:v>
                </c:pt>
                <c:pt idx="6">
                  <c:v>119.89100000000001</c:v>
                </c:pt>
                <c:pt idx="8">
                  <c:v>166.661</c:v>
                </c:pt>
                <c:pt idx="9">
                  <c:v>440.46299999999997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3F6-4BCB-8CD9-8DDC7F88A8CB}"/>
            </c:ext>
          </c:extLst>
        </c:ser>
        <c:ser>
          <c:idx val="11"/>
          <c:order val="11"/>
          <c:tx>
            <c:strRef>
              <c:f>'PIVOT Table Analysis'!$M$4:$M$6</c:f>
              <c:strCache>
                <c:ptCount val="1"/>
                <c:pt idx="0">
                  <c:v>Sum of Commission - 4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'PIVOT Table Analysis'!$A$7:$A$17</c:f>
              <c:strCache>
                <c:ptCount val="10"/>
                <c:pt idx="0">
                  <c:v>37</c:v>
                </c:pt>
                <c:pt idx="1">
                  <c:v>55</c:v>
                </c:pt>
                <c:pt idx="2">
                  <c:v>70</c:v>
                </c:pt>
                <c:pt idx="3">
                  <c:v>100</c:v>
                </c:pt>
                <c:pt idx="4">
                  <c:v>110</c:v>
                </c:pt>
                <c:pt idx="5">
                  <c:v>121</c:v>
                </c:pt>
                <c:pt idx="6">
                  <c:v>340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'PIVOT Table Analysis'!$M$7:$M$17</c:f>
              <c:numCache>
                <c:formatCode>General</c:formatCode>
                <c:ptCount val="10"/>
                <c:pt idx="0">
                  <c:v>55.784999999999997</c:v>
                </c:pt>
                <c:pt idx="2">
                  <c:v>19.545000000000002</c:v>
                </c:pt>
                <c:pt idx="3">
                  <c:v>87.72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3F6-4BCB-8CD9-8DDC7F88A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02767"/>
        <c:axId val="2140901519"/>
      </c:areaChart>
      <c:catAx>
        <c:axId val="2140902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01519"/>
        <c:crosses val="autoZero"/>
        <c:auto val="1"/>
        <c:lblAlgn val="ctr"/>
        <c:lblOffset val="100"/>
        <c:noMultiLvlLbl val="0"/>
      </c:catAx>
      <c:valAx>
        <c:axId val="21409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0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Wise Min and Max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'ScooterSales Data'!$L$30</c:f>
              <c:strCache>
                <c:ptCount val="1"/>
                <c:pt idx="0">
                  <c:v>Max ( in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'ScooterSales Data'!$K$31:$K$38</c:f>
              <c:strCache>
                <c:ptCount val="8"/>
                <c:pt idx="0">
                  <c:v>NY</c:v>
                </c:pt>
                <c:pt idx="1">
                  <c:v>NJ</c:v>
                </c:pt>
                <c:pt idx="2">
                  <c:v>CA</c:v>
                </c:pt>
                <c:pt idx="3">
                  <c:v>MA</c:v>
                </c:pt>
                <c:pt idx="4">
                  <c:v>TX</c:v>
                </c:pt>
                <c:pt idx="5">
                  <c:v>VT</c:v>
                </c:pt>
                <c:pt idx="6">
                  <c:v>AZ</c:v>
                </c:pt>
                <c:pt idx="7">
                  <c:v>CT</c:v>
                </c:pt>
              </c:strCache>
            </c:strRef>
          </c:cat>
          <c:val>
            <c:numRef>
              <c:f>'ScooterSales Data'!$L$31:$L$38</c:f>
              <c:numCache>
                <c:formatCode>General</c:formatCode>
                <c:ptCount val="8"/>
                <c:pt idx="0">
                  <c:v>1666.61</c:v>
                </c:pt>
                <c:pt idx="1">
                  <c:v>877.2</c:v>
                </c:pt>
                <c:pt idx="2">
                  <c:v>2133.58</c:v>
                </c:pt>
                <c:pt idx="3">
                  <c:v>1198.9100000000001</c:v>
                </c:pt>
                <c:pt idx="4">
                  <c:v>2271.0500000000002</c:v>
                </c:pt>
                <c:pt idx="5">
                  <c:v>765.32</c:v>
                </c:pt>
                <c:pt idx="6">
                  <c:v>1336.68</c:v>
                </c:pt>
                <c:pt idx="7">
                  <c:v>709.16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D-415B-BDB9-E304432DF2B8}"/>
            </c:ext>
          </c:extLst>
        </c:ser>
        <c:ser>
          <c:idx val="1"/>
          <c:order val="1"/>
          <c:tx>
            <c:strRef>
              <c:f>'ScooterSales Data'!$M$30</c:f>
              <c:strCache>
                <c:ptCount val="1"/>
                <c:pt idx="0">
                  <c:v>Min( in 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'ScooterSales Data'!$K$31:$K$38</c:f>
              <c:strCache>
                <c:ptCount val="8"/>
                <c:pt idx="0">
                  <c:v>NY</c:v>
                </c:pt>
                <c:pt idx="1">
                  <c:v>NJ</c:v>
                </c:pt>
                <c:pt idx="2">
                  <c:v>CA</c:v>
                </c:pt>
                <c:pt idx="3">
                  <c:v>MA</c:v>
                </c:pt>
                <c:pt idx="4">
                  <c:v>TX</c:v>
                </c:pt>
                <c:pt idx="5">
                  <c:v>VT</c:v>
                </c:pt>
                <c:pt idx="6">
                  <c:v>AZ</c:v>
                </c:pt>
                <c:pt idx="7">
                  <c:v>CT</c:v>
                </c:pt>
              </c:strCache>
            </c:strRef>
          </c:cat>
          <c:val>
            <c:numRef>
              <c:f>'ScooterSales Data'!$M$31:$M$38</c:f>
              <c:numCache>
                <c:formatCode>General</c:formatCode>
                <c:ptCount val="8"/>
                <c:pt idx="0">
                  <c:v>332.58</c:v>
                </c:pt>
                <c:pt idx="1">
                  <c:v>195.45</c:v>
                </c:pt>
                <c:pt idx="2">
                  <c:v>1110.9000000000001</c:v>
                </c:pt>
                <c:pt idx="3">
                  <c:v>1198.9100000000001</c:v>
                </c:pt>
                <c:pt idx="4">
                  <c:v>168.36</c:v>
                </c:pt>
                <c:pt idx="5">
                  <c:v>765.32</c:v>
                </c:pt>
                <c:pt idx="6">
                  <c:v>389.49</c:v>
                </c:pt>
                <c:pt idx="7">
                  <c:v>709.16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D-415B-BDB9-E304432D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88511"/>
        <c:axId val="2145288927"/>
      </c:areaChart>
      <c:catAx>
        <c:axId val="2145288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88927"/>
        <c:crosses val="autoZero"/>
        <c:auto val="1"/>
        <c:lblAlgn val="ctr"/>
        <c:lblOffset val="100"/>
        <c:noMultiLvlLbl val="0"/>
      </c:catAx>
      <c:valAx>
        <c:axId val="21452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8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Person /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29-49FE-AC32-0ED78F9DA3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29-49FE-AC32-0ED78F9DA3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29-49FE-AC32-0ED78F9DA3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29-49FE-AC32-0ED78F9DA3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29-49FE-AC32-0ED78F9DA3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29-49FE-AC32-0ED78F9DA3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29-49FE-AC32-0ED78F9DA3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29-49FE-AC32-0ED78F9DA3F3}"/>
              </c:ext>
            </c:extLst>
          </c:dPt>
          <c:cat>
            <c:strRef>
              <c:f>'ScooterSales Data'!$L$5:$L$12</c:f>
              <c:strCache>
                <c:ptCount val="8"/>
                <c:pt idx="0">
                  <c:v>NY</c:v>
                </c:pt>
                <c:pt idx="1">
                  <c:v>NJ</c:v>
                </c:pt>
                <c:pt idx="2">
                  <c:v>CA</c:v>
                </c:pt>
                <c:pt idx="3">
                  <c:v>MA</c:v>
                </c:pt>
                <c:pt idx="4">
                  <c:v>TX</c:v>
                </c:pt>
                <c:pt idx="5">
                  <c:v>VT</c:v>
                </c:pt>
                <c:pt idx="6">
                  <c:v>AZ</c:v>
                </c:pt>
                <c:pt idx="7">
                  <c:v>CT</c:v>
                </c:pt>
              </c:strCache>
            </c:strRef>
          </c:cat>
          <c:val>
            <c:numRef>
              <c:f>'ScooterSales Data'!$M$5:$M$12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29-49FE-AC32-0ED78F9D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/Client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'ScooterSales Data'!$D$1</c:f>
              <c:strCache>
                <c:ptCount val="1"/>
                <c:pt idx="0">
                  <c:v>Sales (in $)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'ScooterSales Data'!$C$2:$C$21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</c:numCache>
            </c:numRef>
          </c:xVal>
          <c:yVal>
            <c:numRef>
              <c:f>'ScooterSales Data'!$D$2:$D$21</c:f>
              <c:numCache>
                <c:formatCode>General</c:formatCode>
                <c:ptCount val="20"/>
                <c:pt idx="0">
                  <c:v>1336.68</c:v>
                </c:pt>
                <c:pt idx="1">
                  <c:v>389.49</c:v>
                </c:pt>
                <c:pt idx="2">
                  <c:v>1110.9000000000001</c:v>
                </c:pt>
                <c:pt idx="3">
                  <c:v>1794.92</c:v>
                </c:pt>
                <c:pt idx="4">
                  <c:v>2133.58</c:v>
                </c:pt>
                <c:pt idx="5">
                  <c:v>709.16</c:v>
                </c:pt>
                <c:pt idx="6">
                  <c:v>1198.9100000000001</c:v>
                </c:pt>
                <c:pt idx="7">
                  <c:v>877.2</c:v>
                </c:pt>
                <c:pt idx="8">
                  <c:v>195.45</c:v>
                </c:pt>
                <c:pt idx="9">
                  <c:v>831.28</c:v>
                </c:pt>
                <c:pt idx="10">
                  <c:v>964.69</c:v>
                </c:pt>
                <c:pt idx="11">
                  <c:v>1666.61</c:v>
                </c:pt>
                <c:pt idx="12">
                  <c:v>910.29</c:v>
                </c:pt>
                <c:pt idx="13">
                  <c:v>631.69000000000005</c:v>
                </c:pt>
                <c:pt idx="14">
                  <c:v>332.58</c:v>
                </c:pt>
                <c:pt idx="15">
                  <c:v>911.44</c:v>
                </c:pt>
                <c:pt idx="16">
                  <c:v>168.36</c:v>
                </c:pt>
                <c:pt idx="17">
                  <c:v>893.89</c:v>
                </c:pt>
                <c:pt idx="18">
                  <c:v>2271.0500000000002</c:v>
                </c:pt>
                <c:pt idx="19">
                  <c:v>765.32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C-4818-BF08-69EC551B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6383"/>
        <c:axId val="148842207"/>
      </c:scatterChart>
      <c:valAx>
        <c:axId val="1488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2207"/>
        <c:crosses val="autoZero"/>
        <c:crossBetween val="midCat"/>
      </c:valAx>
      <c:valAx>
        <c:axId val="1488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Client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'ScooterSales Data'!$J$4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'ScooterSales Data'!$I$5:$I$12</c:f>
              <c:strCache>
                <c:ptCount val="8"/>
                <c:pt idx="0">
                  <c:v>AZ</c:v>
                </c:pt>
                <c:pt idx="1">
                  <c:v>CA</c:v>
                </c:pt>
                <c:pt idx="2">
                  <c:v>CT</c:v>
                </c:pt>
                <c:pt idx="3">
                  <c:v>MA</c:v>
                </c:pt>
                <c:pt idx="4">
                  <c:v>NJ</c:v>
                </c:pt>
                <c:pt idx="5">
                  <c:v>NY</c:v>
                </c:pt>
                <c:pt idx="6">
                  <c:v>TX</c:v>
                </c:pt>
                <c:pt idx="7">
                  <c:v>VT</c:v>
                </c:pt>
              </c:strCache>
            </c:strRef>
          </c:cat>
          <c:val>
            <c:numRef>
              <c:f>'ScooterSales Data'!$J$5:$J$12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A-42D7-A27A-5DF21FE8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236399"/>
        <c:axId val="259237231"/>
      </c:barChart>
      <c:catAx>
        <c:axId val="25923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7231"/>
        <c:crosses val="autoZero"/>
        <c:auto val="1"/>
        <c:lblAlgn val="ctr"/>
        <c:lblOffset val="100"/>
        <c:noMultiLvlLbl val="0"/>
      </c:catAx>
      <c:valAx>
        <c:axId val="2592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Commission -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'ScooterSales Data'!$G$1</c:f>
              <c:strCache>
                <c:ptCount val="1"/>
                <c:pt idx="0">
                  <c:v>Commission( in 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'ScooterSales Data'!$D$2:$D$21</c:f>
              <c:numCache>
                <c:formatCode>General</c:formatCode>
                <c:ptCount val="20"/>
                <c:pt idx="0">
                  <c:v>1336.68</c:v>
                </c:pt>
                <c:pt idx="1">
                  <c:v>389.49</c:v>
                </c:pt>
                <c:pt idx="2">
                  <c:v>1110.9000000000001</c:v>
                </c:pt>
                <c:pt idx="3">
                  <c:v>1794.92</c:v>
                </c:pt>
                <c:pt idx="4">
                  <c:v>2133.58</c:v>
                </c:pt>
                <c:pt idx="5">
                  <c:v>709.16</c:v>
                </c:pt>
                <c:pt idx="6">
                  <c:v>1198.9100000000001</c:v>
                </c:pt>
                <c:pt idx="7">
                  <c:v>877.2</c:v>
                </c:pt>
                <c:pt idx="8">
                  <c:v>195.45</c:v>
                </c:pt>
                <c:pt idx="9">
                  <c:v>831.28</c:v>
                </c:pt>
                <c:pt idx="10">
                  <c:v>964.69</c:v>
                </c:pt>
                <c:pt idx="11">
                  <c:v>1666.61</c:v>
                </c:pt>
                <c:pt idx="12">
                  <c:v>910.29</c:v>
                </c:pt>
                <c:pt idx="13">
                  <c:v>631.69000000000005</c:v>
                </c:pt>
                <c:pt idx="14">
                  <c:v>332.58</c:v>
                </c:pt>
                <c:pt idx="15">
                  <c:v>911.44</c:v>
                </c:pt>
                <c:pt idx="16">
                  <c:v>168.36</c:v>
                </c:pt>
                <c:pt idx="17">
                  <c:v>893.89</c:v>
                </c:pt>
                <c:pt idx="18">
                  <c:v>2271.0500000000002</c:v>
                </c:pt>
                <c:pt idx="19">
                  <c:v>765.32</c:v>
                </c:pt>
              </c:numCache>
            </c:numRef>
          </c:xVal>
          <c:yVal>
            <c:numRef>
              <c:f>'ScooterSales Data'!$G$2:$G$21</c:f>
              <c:numCache>
                <c:formatCode>General</c:formatCode>
                <c:ptCount val="20"/>
                <c:pt idx="0">
                  <c:v>133.66800000000001</c:v>
                </c:pt>
                <c:pt idx="1">
                  <c:v>38.948999999999998</c:v>
                </c:pt>
                <c:pt idx="2">
                  <c:v>111.09</c:v>
                </c:pt>
                <c:pt idx="3">
                  <c:v>179.49199999999999</c:v>
                </c:pt>
                <c:pt idx="4">
                  <c:v>213.358</c:v>
                </c:pt>
                <c:pt idx="5">
                  <c:v>70.915999999999997</c:v>
                </c:pt>
                <c:pt idx="6">
                  <c:v>119.89100000000001</c:v>
                </c:pt>
                <c:pt idx="7">
                  <c:v>87.72</c:v>
                </c:pt>
                <c:pt idx="8">
                  <c:v>19.545000000000002</c:v>
                </c:pt>
                <c:pt idx="9">
                  <c:v>83.128</c:v>
                </c:pt>
                <c:pt idx="10">
                  <c:v>96.468999999999994</c:v>
                </c:pt>
                <c:pt idx="11">
                  <c:v>166.661</c:v>
                </c:pt>
                <c:pt idx="12">
                  <c:v>91.028999999999996</c:v>
                </c:pt>
                <c:pt idx="13">
                  <c:v>63.168999999999997</c:v>
                </c:pt>
                <c:pt idx="14">
                  <c:v>33.258000000000003</c:v>
                </c:pt>
                <c:pt idx="15">
                  <c:v>91.144000000000005</c:v>
                </c:pt>
                <c:pt idx="16">
                  <c:v>16.835999999999999</c:v>
                </c:pt>
                <c:pt idx="17">
                  <c:v>89.388999999999996</c:v>
                </c:pt>
                <c:pt idx="18">
                  <c:v>227.10499999999999</c:v>
                </c:pt>
                <c:pt idx="19">
                  <c:v>76.531999999999996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0-4CAC-AF2B-7B1837A6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45551"/>
        <c:axId val="259237647"/>
      </c:scatterChart>
      <c:valAx>
        <c:axId val="2592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7647"/>
        <c:crosses val="autoZero"/>
        <c:crossBetween val="midCat"/>
      </c:valAx>
      <c:valAx>
        <c:axId val="2592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4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State Wise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State Wise Revenue</a:t>
          </a:r>
        </a:p>
      </cx:txPr>
    </cx:title>
    <cx:plotArea>
      <cx:plotAreaRegion>
        <cx:series layoutId="treemap" uniqueId="{49CF415F-CBC0-493B-98E0-DC2538A0B6C3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microsoft.com/office/2014/relationships/chartEx" Target="../charts/chartEx1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18</xdr:row>
      <xdr:rowOff>179070</xdr:rowOff>
    </xdr:from>
    <xdr:to>
      <xdr:col>5</xdr:col>
      <xdr:colOff>1569720</xdr:colOff>
      <xdr:row>33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F2430-59A3-4FD2-B1C9-2DEC5A0B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3</xdr:row>
      <xdr:rowOff>22860</xdr:rowOff>
    </xdr:from>
    <xdr:to>
      <xdr:col>13</xdr:col>
      <xdr:colOff>594360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92726-E712-4176-96EC-03EA196ED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19</xdr:row>
      <xdr:rowOff>167640</xdr:rowOff>
    </xdr:from>
    <xdr:to>
      <xdr:col>6</xdr:col>
      <xdr:colOff>365760</xdr:colOff>
      <xdr:row>33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93844-0E0E-4F67-B24D-56044B818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19</xdr:row>
      <xdr:rowOff>152400</xdr:rowOff>
    </xdr:from>
    <xdr:to>
      <xdr:col>21</xdr:col>
      <xdr:colOff>22860</xdr:colOff>
      <xdr:row>33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21897-227D-48D6-A8B4-8323AC4A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396240</xdr:colOff>
      <xdr:row>3</xdr:row>
      <xdr:rowOff>7620</xdr:rowOff>
    </xdr:from>
    <xdr:to>
      <xdr:col>21</xdr:col>
      <xdr:colOff>0</xdr:colOff>
      <xdr:row>16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93415-CE16-4219-9605-9DBF23C4D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121920</xdr:colOff>
      <xdr:row>19</xdr:row>
      <xdr:rowOff>160020</xdr:rowOff>
    </xdr:from>
    <xdr:to>
      <xdr:col>14</xdr:col>
      <xdr:colOff>45720</xdr:colOff>
      <xdr:row>33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12">
              <a:extLst>
                <a:ext uri="{FF2B5EF4-FFF2-40B4-BE49-F238E27FC236}">
                  <a16:creationId xmlns:a16="http://schemas.microsoft.com/office/drawing/2014/main" id="{5F721A31-BAA4-4646-B93C-515744B0BE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2460" y="3665220"/>
              <a:ext cx="4244340" cy="2449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160020</xdr:colOff>
      <xdr:row>3</xdr:row>
      <xdr:rowOff>38100</xdr:rowOff>
    </xdr:from>
    <xdr:to>
      <xdr:col>6</xdr:col>
      <xdr:colOff>419100</xdr:colOff>
      <xdr:row>16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03F73C-A426-4CDB-ABCE-BA7EA1516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65.790443171296" createdVersion="7" refreshedVersion="7" minRefreshableVersion="3" recordCount="20" xr:uid="{59675097-E17B-4974-92F8-A5A337E5F544}">
  <cacheSource type="worksheet">
    <worksheetSource ref="B1:G21" sheet="ScooterSales Data"/>
  </cacheSource>
  <cacheFields count="6">
    <cacheField name="State" numFmtId="0">
      <sharedItems count="8">
        <s v="NY"/>
        <s v="NJ"/>
        <s v="CA"/>
        <s v="MA"/>
        <s v="TX"/>
        <s v="VT"/>
        <s v="AZ"/>
        <s v="CT"/>
      </sharedItems>
    </cacheField>
    <cacheField name="No. Clients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ales" numFmtId="164">
      <sharedItems containsSemiMixedTypes="0" containsString="0" containsNumber="1" minValue="168.36" maxValue="2271.0500000000002" count="20">
        <n v="964.69"/>
        <n v="877.2"/>
        <n v="1110.9000000000001"/>
        <n v="1794.92"/>
        <n v="1198.9100000000001"/>
        <n v="168.36"/>
        <n v="1666.61"/>
        <n v="910.29"/>
        <n v="631.69000000000005"/>
        <n v="765.32"/>
        <n v="1336.68"/>
        <n v="709.16"/>
        <n v="332.58"/>
        <n v="911.44"/>
        <n v="389.49"/>
        <n v="2133.58"/>
        <n v="195.45"/>
        <n v="831.28"/>
        <n v="893.89"/>
        <n v="2271.0500000000002"/>
      </sharedItems>
    </cacheField>
    <cacheField name="Max Item Value" numFmtId="0">
      <sharedItems containsSemiMixedTypes="0" containsString="0" containsNumber="1" containsInteger="1" minValue="37" maxValue="500" count="10">
        <n v="100"/>
        <n v="121"/>
        <n v="400"/>
        <n v="340"/>
        <n v="37"/>
        <n v="450"/>
        <n v="500"/>
        <n v="55"/>
        <n v="110"/>
        <n v="70"/>
      </sharedItems>
    </cacheField>
    <cacheField name="Avg. Sales per Client" numFmtId="164">
      <sharedItems containsSemiMixedTypes="0" containsString="0" containsNumber="1" minValue="42.09" maxValue="964.69" count="20">
        <n v="964.69"/>
        <n v="219.3"/>
        <n v="555.45000000000005"/>
        <n v="897.46"/>
        <n v="399.63666669999998"/>
        <n v="42.09"/>
        <n v="555.53666669999996"/>
        <n v="910.29"/>
        <n v="315.84500000000003"/>
        <n v="765.32"/>
        <n v="668.34"/>
        <n v="709.16"/>
        <n v="332.58"/>
        <n v="911.44"/>
        <n v="97.372500000000002"/>
        <n v="711.19333329999995"/>
        <n v="48.862499999999997"/>
        <n v="277.09333329999998"/>
        <n v="446.94499999999999"/>
        <n v="757.01666669999997"/>
      </sharedItems>
    </cacheField>
    <cacheField name="Commission" numFmtId="164">
      <sharedItems containsSemiMixedTypes="0" containsString="0" containsNumber="1" minValue="16.835999999999999" maxValue="227.10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n v="96.468999999999994"/>
  </r>
  <r>
    <x v="1"/>
    <x v="1"/>
    <x v="1"/>
    <x v="0"/>
    <x v="1"/>
    <n v="87.72"/>
  </r>
  <r>
    <x v="2"/>
    <x v="2"/>
    <x v="2"/>
    <x v="1"/>
    <x v="2"/>
    <n v="111.09"/>
  </r>
  <r>
    <x v="2"/>
    <x v="2"/>
    <x v="3"/>
    <x v="2"/>
    <x v="3"/>
    <n v="179.49199999999999"/>
  </r>
  <r>
    <x v="3"/>
    <x v="3"/>
    <x v="4"/>
    <x v="3"/>
    <x v="4"/>
    <n v="119.89100000000001"/>
  </r>
  <r>
    <x v="4"/>
    <x v="1"/>
    <x v="5"/>
    <x v="4"/>
    <x v="5"/>
    <n v="16.835999999999999"/>
  </r>
  <r>
    <x v="0"/>
    <x v="3"/>
    <x v="6"/>
    <x v="5"/>
    <x v="6"/>
    <n v="166.661"/>
  </r>
  <r>
    <x v="0"/>
    <x v="0"/>
    <x v="7"/>
    <x v="6"/>
    <x v="7"/>
    <n v="91.028999999999996"/>
  </r>
  <r>
    <x v="0"/>
    <x v="2"/>
    <x v="8"/>
    <x v="0"/>
    <x v="8"/>
    <n v="63.168999999999997"/>
  </r>
  <r>
    <x v="5"/>
    <x v="0"/>
    <x v="9"/>
    <x v="7"/>
    <x v="9"/>
    <n v="76.531999999999996"/>
  </r>
  <r>
    <x v="6"/>
    <x v="2"/>
    <x v="10"/>
    <x v="8"/>
    <x v="10"/>
    <n v="133.66800000000001"/>
  </r>
  <r>
    <x v="7"/>
    <x v="0"/>
    <x v="11"/>
    <x v="9"/>
    <x v="11"/>
    <n v="70.915999999999997"/>
  </r>
  <r>
    <x v="0"/>
    <x v="0"/>
    <x v="12"/>
    <x v="7"/>
    <x v="12"/>
    <n v="33.258000000000003"/>
  </r>
  <r>
    <x v="0"/>
    <x v="0"/>
    <x v="13"/>
    <x v="2"/>
    <x v="13"/>
    <n v="91.144000000000005"/>
  </r>
  <r>
    <x v="6"/>
    <x v="1"/>
    <x v="14"/>
    <x v="4"/>
    <x v="14"/>
    <n v="38.948999999999998"/>
  </r>
  <r>
    <x v="2"/>
    <x v="3"/>
    <x v="15"/>
    <x v="6"/>
    <x v="15"/>
    <n v="213.358"/>
  </r>
  <r>
    <x v="1"/>
    <x v="1"/>
    <x v="16"/>
    <x v="9"/>
    <x v="16"/>
    <n v="19.545000000000002"/>
  </r>
  <r>
    <x v="1"/>
    <x v="3"/>
    <x v="17"/>
    <x v="1"/>
    <x v="17"/>
    <n v="83.128"/>
  </r>
  <r>
    <x v="4"/>
    <x v="2"/>
    <x v="18"/>
    <x v="3"/>
    <x v="18"/>
    <n v="89.388999999999996"/>
  </r>
  <r>
    <x v="4"/>
    <x v="3"/>
    <x v="19"/>
    <x v="6"/>
    <x v="19"/>
    <n v="227.104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D3BD1-68A4-4B13-90B9-C90EE1F5265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P17" firstHeaderRow="1" firstDataRow="3" firstDataCol="1" rowPageCount="1" colPageCount="1"/>
  <pivotFields count="6">
    <pivotField axis="axisPage" multipleItemSelectionAllowed="1" showAll="0">
      <items count="9">
        <item x="6"/>
        <item x="2"/>
        <item x="7"/>
        <item x="3"/>
        <item x="1"/>
        <item x="0"/>
        <item x="4"/>
        <item x="5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dataField="1" numFmtId="164" showAll="0">
      <items count="21">
        <item x="5"/>
        <item x="16"/>
        <item x="12"/>
        <item x="14"/>
        <item x="8"/>
        <item x="11"/>
        <item x="9"/>
        <item x="17"/>
        <item x="1"/>
        <item x="18"/>
        <item x="7"/>
        <item x="13"/>
        <item x="0"/>
        <item x="2"/>
        <item x="4"/>
        <item x="10"/>
        <item x="6"/>
        <item x="3"/>
        <item x="15"/>
        <item x="19"/>
        <item t="default"/>
      </items>
    </pivotField>
    <pivotField axis="axisRow" showAll="0">
      <items count="11">
        <item x="4"/>
        <item x="7"/>
        <item x="9"/>
        <item x="0"/>
        <item x="8"/>
        <item x="1"/>
        <item x="3"/>
        <item x="2"/>
        <item x="5"/>
        <item x="6"/>
        <item t="default"/>
      </items>
    </pivotField>
    <pivotField dataField="1" numFmtId="164" showAll="0">
      <items count="21">
        <item x="5"/>
        <item x="16"/>
        <item x="14"/>
        <item x="1"/>
        <item x="17"/>
        <item x="8"/>
        <item x="12"/>
        <item x="4"/>
        <item x="18"/>
        <item x="2"/>
        <item x="6"/>
        <item x="10"/>
        <item x="11"/>
        <item x="15"/>
        <item x="19"/>
        <item x="9"/>
        <item x="3"/>
        <item x="7"/>
        <item x="13"/>
        <item x="0"/>
        <item t="default"/>
      </items>
    </pivotField>
    <pivotField dataField="1"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1"/>
  </colFields>
  <colItems count="1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t="grand">
      <x/>
    </i>
    <i t="grand" i="1">
      <x/>
    </i>
    <i t="grand" i="2">
      <x/>
    </i>
  </colItems>
  <pageFields count="1">
    <pageField fld="0" hier="-1"/>
  </pageFields>
  <dataFields count="3">
    <dataField name="Sum of Sales" fld="2" baseField="0" baseItem="0"/>
    <dataField name="Sum of Avg. Sales per Client" fld="4" baseField="0" baseItem="0"/>
    <dataField name="Sum of Commission" fld="5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9C1B5-6DC2-42B2-8412-7402F4F156C2}" name="Table1" displayName="Table1" ref="A1:G21" totalsRowShown="0" headerRowDxfId="60" dataDxfId="59" headerRowCellStyle="Currency" dataCellStyle="Currency">
  <autoFilter ref="A1:G21" xr:uid="{0CE9C1B5-6DC2-42B2-8412-7402F4F156C2}"/>
  <tableColumns count="7">
    <tableColumn id="1" xr3:uid="{C3823300-EAD7-4FC0-BB9E-86A3FCCD973A}" name="Name" dataDxfId="58"/>
    <tableColumn id="2" xr3:uid="{3139724A-9E3A-496D-85AF-3762F76DB6FF}" name="State" dataDxfId="57"/>
    <tableColumn id="3" xr3:uid="{7390CDDD-1E9F-4904-A1F4-DC8B26948435}" name="No. Clients" dataDxfId="56"/>
    <tableColumn id="4" xr3:uid="{D0B0AFD3-B18E-4B4C-A603-E1A0867DE1CC}" name="Sales (in $)" dataDxfId="55" dataCellStyle="Currency"/>
    <tableColumn id="5" xr3:uid="{03A4060E-64A1-4D09-A97A-75D76DC39EFA}" name="Max Item Value" dataDxfId="54"/>
    <tableColumn id="6" xr3:uid="{A9F7F000-82CF-4E55-B64F-89D3C34BA296}" name="Avg. Sales per Client( in $)" dataDxfId="53" dataCellStyle="Currency"/>
    <tableColumn id="7" xr3:uid="{D25A584B-031E-4A56-B61D-C52F22412DB6}" name="Commission( in $)" dataDxfId="52" dataCellStyle="Currency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4D186BC-AD4F-4062-8625-36588F02CFF9}" name="Table15" displayName="Table15" ref="K30:M38" totalsRowShown="0" headerRowDxfId="18">
  <autoFilter ref="K30:M38" xr:uid="{84D186BC-AD4F-4062-8625-36588F02CFF9}"/>
  <tableColumns count="3">
    <tableColumn id="1" xr3:uid="{D124F472-A2DE-4096-A35C-1F570C533CB7}" name="States" dataDxfId="17"/>
    <tableColumn id="2" xr3:uid="{8BFF816C-C19C-494C-8EA1-A38A0487C78D}" name="Max ( in $)" dataDxfId="16" dataCellStyle="Currency">
      <calculatedColumnFormula>_xlfn.MAXIFS($D$2:$D$21,$B$2:$B$21,K31)</calculatedColumnFormula>
    </tableColumn>
    <tableColumn id="3" xr3:uid="{09A09699-36AB-401E-9240-A5A64EEFD138}" name="Min( in $)" dataDxfId="15" dataCellStyle="Currency">
      <calculatedColumnFormula>_xlfn.MINIFS($D$2:$D$21,$B$2:$B$21,K31)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5DB2B1-3791-4D0A-95A8-980CF7A1AFC6}" name="Table16" displayName="Table16" ref="P30:R38" totalsRowShown="0" headerRowDxfId="14" dataDxfId="13">
  <autoFilter ref="P30:R38" xr:uid="{085DB2B1-3791-4D0A-95A8-980CF7A1AFC6}"/>
  <tableColumns count="3">
    <tableColumn id="1" xr3:uid="{B9183926-0EC2-4F18-BB05-19CCE22F3795}" name="States" dataDxfId="12"/>
    <tableColumn id="2" xr3:uid="{76C7F359-7815-4BF9-8475-A18349A4182A}" name="Client &lt; 2" dataDxfId="11">
      <calculatedColumnFormula>COUNTIFS($B$2:$B$21,P31,$C$2:$C$21,"1")</calculatedColumnFormula>
    </tableColumn>
    <tableColumn id="3" xr3:uid="{6C85954C-538F-4540-80BD-EAF1C1437A36}" name="Client &gt; 3" dataDxfId="10">
      <calculatedColumnFormula>COUNTIFS($B$2:$B$21,P31,$C$2:$C$21,"4")</calculatedColumnFormula>
    </tableColumn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716930-8361-49F3-B58B-7D92E3F24C99}" name="Table17" displayName="Table17" ref="K41:K42" totalsRowShown="0" headerRowDxfId="9" dataDxfId="8" dataCellStyle="Currency">
  <autoFilter ref="K41:K42" xr:uid="{31716930-8361-49F3-B58B-7D92E3F24C99}"/>
  <tableColumns count="1">
    <tableColumn id="1" xr3:uid="{9C7E1A70-A7B8-42F9-A5B7-DE0F49C6B653}" name="Max Sales Overall" dataDxfId="7" dataCellStyle="Currency">
      <calculatedColumnFormula>MAX(D2:D21)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6E4A0D8-2028-4DDA-AC45-1350B84D9CA0}" name="Table18" displayName="Table18" ref="K44:K45" totalsRowShown="0" headerRowDxfId="6" dataDxfId="5" dataCellStyle="Currency">
  <autoFilter ref="K44:K45" xr:uid="{C6E4A0D8-2028-4DDA-AC45-1350B84D9CA0}"/>
  <tableColumns count="1">
    <tableColumn id="1" xr3:uid="{F467D988-D986-4EFF-9C4B-74B1789597D1}" name="Min Sales Overall" dataDxfId="4" dataCellStyle="Currency">
      <calculatedColumnFormula>MIN(D2:D21)</calculatedColumnFormula>
    </tableColumn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17CB54D-9E11-4915-9BEC-F91CD8EEB95A}" name="Table22" displayName="Table22" ref="C47:F64" totalsRowShown="0">
  <autoFilter ref="C47:F64" xr:uid="{817CB54D-9E11-4915-9BEC-F91CD8EEB95A}"/>
  <tableColumns count="4">
    <tableColumn id="1" xr3:uid="{594E8DA6-63C7-4219-9339-4DA5344020C2}" name="." dataDxfId="3"/>
    <tableColumn id="2" xr3:uid="{9C1D2388-5C8F-473D-B1EB-EB50C8377004}" name="Correlation" dataDxfId="2"/>
    <tableColumn id="3" xr3:uid="{C143984A-F336-4191-A298-697B5B22674F}" name="-" dataDxfId="1"/>
    <tableColumn id="4" xr3:uid="{0C334942-E87E-4CD3-9DE2-79DF76D21F94}" name="Interpreted Value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20C7B3-304F-43C5-BFAF-7959AB411657}" name="Table4" displayName="Table4" ref="C23:G27" totalsRowShown="0" headerRowDxfId="51" dataDxfId="50">
  <autoFilter ref="C23:G27" xr:uid="{7620C7B3-304F-43C5-BFAF-7959AB411657}"/>
  <tableColumns count="5">
    <tableColumn id="1" xr3:uid="{CA3BC540-C8EC-4783-B9E3-96EE8F7D8538}" name="Statistics" dataDxfId="49"/>
    <tableColumn id="2" xr3:uid="{A671193D-091D-4DA3-9756-EF803037D436}" name="Sales" dataDxfId="48"/>
    <tableColumn id="3" xr3:uid="{DE60727B-DED2-465E-9E39-A4CECD064125}" name="Max Value" dataDxfId="47"/>
    <tableColumn id="4" xr3:uid="{2352DBCF-3E6D-4AF4-A23C-BAD1D84AFDBE}" name="Avg.Sales" dataDxfId="46"/>
    <tableColumn id="5" xr3:uid="{FBBA78D9-81E3-4F05-AB60-A11D444EE4B8}" name="Commission" dataDxfId="4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70A1B8-BED1-4154-9D87-84F3A0ABBBF1}" name="Table5" displayName="Table5" ref="I4:J12" totalsRowShown="0" headerRowDxfId="44" dataDxfId="43">
  <autoFilter ref="I4:J12" xr:uid="{5470A1B8-BED1-4154-9D87-84F3A0ABBBF1}"/>
  <tableColumns count="2">
    <tableColumn id="1" xr3:uid="{23C189A9-86C3-4497-B730-3DC88A1BC52F}" name="State" dataDxfId="42"/>
    <tableColumn id="2" xr3:uid="{6095C249-7AA7-424C-BFFF-4F9D126BEEF1}" name="Client" dataDxfId="41">
      <calculatedColumnFormula>SUMIFS($C$2:$C$21,$B$2:$B$21,I5)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10975B-1C67-4540-89C3-80B3F24C0B68}" name="Table6" displayName="Table6" ref="L4:M12" totalsRowShown="0" headerRowDxfId="40" dataDxfId="39">
  <autoFilter ref="L4:M12" xr:uid="{7A10975B-1C67-4540-89C3-80B3F24C0B68}"/>
  <tableColumns count="2">
    <tableColumn id="1" xr3:uid="{E40A1F33-EEDE-45E5-9C28-B60AE53ADE96}" name="State" dataDxfId="38"/>
    <tableColumn id="2" xr3:uid="{6F7E23F2-12A0-4020-A7CE-A4BCA2F7B7A0}" name="Sales Person" dataDxfId="37">
      <calculatedColumnFormula>COUNTIF($B$2:$B$21,L5)</calculatedColumnFormula>
    </tableColumn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B705BD-9823-44F8-B94D-119B88CEE862}" name="Table10" displayName="Table10" ref="P5:R7" totalsRowShown="0" headerRowDxfId="36">
  <autoFilter ref="P5:R7" xr:uid="{E6B705BD-9823-44F8-B94D-119B88CEE862}"/>
  <tableColumns count="3">
    <tableColumn id="1" xr3:uid="{7FE3D3FC-4B44-4484-9105-7E1879FF24C0}" name="Parameter" dataDxfId="35"/>
    <tableColumn id="2" xr3:uid="{A6CB112D-1C47-46DE-9178-BA8978F7AAC4}" name="Value">
      <calculatedColumnFormula>SUMIF(D1:D20,"&gt;500")</calculatedColumnFormula>
    </tableColumn>
    <tableColumn id="3" xr3:uid="{84707BB2-FF61-4F39-A507-CC09FBDBE16D}" name="Column3" dataDxfId="34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14C8D5-7F33-4F3B-B932-3C4C91575138}" name="Table11" displayName="Table11" ref="K16:L24" totalsRowShown="0" headerRowDxfId="33">
  <autoFilter ref="K16:L24" xr:uid="{1914C8D5-7F33-4F3B-B932-3C4C91575138}"/>
  <tableColumns count="2">
    <tableColumn id="1" xr3:uid="{D299111E-218A-49D6-8EC2-5FFFBC1C5166}" name="State" dataDxfId="32"/>
    <tableColumn id="2" xr3:uid="{A0256BF4-CD72-43EA-B961-0567ECFF26EA}" name="Revenue (in $)" dataDxfId="31" dataCellStyle="Currency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24EA12-C3A7-4413-80E1-4E60121B8642}" name="Table12" displayName="Table12" ref="R16:T24" totalsRowShown="0">
  <autoFilter ref="R16:T24" xr:uid="{2724EA12-C3A7-4413-80E1-4E60121B8642}"/>
  <tableColumns count="3">
    <tableColumn id="1" xr3:uid="{0FD421AB-3285-410E-ABBC-DD05F266C390}" name="State" dataDxfId="30"/>
    <tableColumn id="2" xr3:uid="{D212BAC3-C04B-4A3B-B386-423DB5110397}" name="Average Sales (in $)" dataDxfId="29" dataCellStyle="Currency">
      <calculatedColumnFormula>AVERAGEIF($B$2:$B$21,R17,$D$2:$D$21)</calculatedColumnFormula>
    </tableColumn>
    <tableColumn id="3" xr3:uid="{D2D35AA4-74DF-40C6-9C76-B3A423E3EC67}" name="Column1" dataDxfId="28"/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43AF30-8E88-41B6-8FB3-13063E323AE8}" name="Table13" displayName="Table13" ref="E30:I31" totalsRowShown="0" headerRowDxfId="27" dataDxfId="26">
  <autoFilter ref="E30:I31" xr:uid="{C443AF30-8E88-41B6-8FB3-13063E323AE8}"/>
  <tableColumns count="5">
    <tableColumn id="1" xr3:uid="{21E6F76D-F97D-46A0-B9A2-0FB8A648D9F0}" name="States" dataDxfId="25"/>
    <tableColumn id="2" xr3:uid="{2F19C700-914B-43D2-869F-0B559234F24E}" name="Total Commission / State( in $)" dataDxfId="24">
      <calculatedColumnFormula>SUMIF($B$2:$B$21,E31,$G$2:$G$21)</calculatedColumnFormula>
    </tableColumn>
    <tableColumn id="3" xr3:uid="{D86EA056-5164-4C14-A84B-960FC8298115}" name="Average( in $)" dataDxfId="23">
      <calculatedColumnFormula>AVERAGEIF($B$2:$B$21,E31,$G$2:$G$21)</calculatedColumnFormula>
    </tableColumn>
    <tableColumn id="4" xr3:uid="{4FA75C36-2AB5-4084-B664-02DB825824B8}" name="Min Comm.( in $)" dataDxfId="22">
      <calculatedColumnFormula>_xlfn.MAXIFS($G$2:$G$21,$B$2:$B$21,E31)</calculatedColumnFormula>
    </tableColumn>
    <tableColumn id="5" xr3:uid="{5B59C671-5EE7-4FBB-9539-69A505D9FBA7}" name="Min Comm.( in $)2" dataDxfId="21">
      <calculatedColumnFormula>_xlfn.MINIFS($G$2:$G$21,$B$2:$B$21,E31)</calculatedColumnFormula>
    </tableColumn>
  </tableColumns>
  <tableStyleInfo name="TableStyleMedium2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AABD092-087C-4C31-A2CF-96945ACEF1D6}" name="Table14" displayName="Table14" ref="D41:E42" totalsRowShown="0" headerRowDxfId="20">
  <autoFilter ref="D41:E42" xr:uid="{BAABD092-087C-4C31-A2CF-96945ACEF1D6}"/>
  <tableColumns count="2">
    <tableColumn id="1" xr3:uid="{3EA83767-4947-46E1-B241-947F5A32D34A}" name="State"/>
    <tableColumn id="2" xr3:uid="{A05B9997-B840-4557-B966-F7E85EE6E142}" name="Avg.Sales ( in $)" dataDxfId="19">
      <calculatedColumnFormula>AVERAGEIFS(F2:F21,$B$2:$B$21,D42)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image" Target="../media/image1.jpeg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AE72-997E-4A8A-A2F0-FB88D7F91285}">
  <sheetPr>
    <tabColor rgb="FF0070C0"/>
  </sheetPr>
  <dimension ref="A2:P17"/>
  <sheetViews>
    <sheetView topLeftCell="A6" workbookViewId="0">
      <selection activeCell="H26" sqref="H26"/>
    </sheetView>
  </sheetViews>
  <sheetFormatPr defaultRowHeight="14.4"/>
  <cols>
    <col min="1" max="1" width="12.5546875" bestFit="1" customWidth="1"/>
    <col min="2" max="2" width="15.5546875" bestFit="1" customWidth="1"/>
    <col min="3" max="4" width="8" bestFit="1" customWidth="1"/>
    <col min="5" max="5" width="7" bestFit="1" customWidth="1"/>
    <col min="6" max="6" width="24.6640625" bestFit="1" customWidth="1"/>
    <col min="7" max="7" width="8" bestFit="1" customWidth="1"/>
    <col min="8" max="8" width="12" bestFit="1" customWidth="1"/>
    <col min="9" max="9" width="9" bestFit="1" customWidth="1"/>
    <col min="10" max="10" width="17.88671875" bestFit="1" customWidth="1"/>
    <col min="11" max="12" width="8" bestFit="1" customWidth="1"/>
    <col min="13" max="13" width="7" bestFit="1" customWidth="1"/>
    <col min="14" max="14" width="16.44140625" bestFit="1" customWidth="1"/>
    <col min="15" max="15" width="29.5546875" bestFit="1" customWidth="1"/>
    <col min="16" max="16" width="22.6640625" bestFit="1" customWidth="1"/>
    <col min="17" max="17" width="7" bestFit="1" customWidth="1"/>
    <col min="18" max="18" width="17.88671875" bestFit="1" customWidth="1"/>
    <col min="19" max="19" width="8" bestFit="1" customWidth="1"/>
    <col min="20" max="20" width="7" bestFit="1" customWidth="1"/>
    <col min="21" max="24" width="8" bestFit="1" customWidth="1"/>
    <col min="25" max="25" width="7" bestFit="1" customWidth="1"/>
    <col min="26" max="26" width="16.44140625" bestFit="1" customWidth="1"/>
    <col min="27" max="27" width="29.5546875" bestFit="1" customWidth="1"/>
    <col min="28" max="28" width="22.6640625" bestFit="1" customWidth="1"/>
    <col min="29" max="33" width="24.6640625" bestFit="1" customWidth="1"/>
    <col min="34" max="34" width="13.21875" bestFit="1" customWidth="1"/>
    <col min="35" max="35" width="26.21875" bestFit="1" customWidth="1"/>
    <col min="36" max="36" width="19.33203125" bestFit="1" customWidth="1"/>
    <col min="37" max="48" width="24.6640625" bestFit="1" customWidth="1"/>
    <col min="49" max="49" width="13.21875" bestFit="1" customWidth="1"/>
    <col min="50" max="50" width="26.21875" bestFit="1" customWidth="1"/>
    <col min="51" max="51" width="19.33203125" bestFit="1" customWidth="1"/>
    <col min="52" max="60" width="24.6640625" bestFit="1" customWidth="1"/>
    <col min="61" max="61" width="13.21875" bestFit="1" customWidth="1"/>
    <col min="62" max="62" width="26.21875" bestFit="1" customWidth="1"/>
    <col min="63" max="63" width="19.33203125" bestFit="1" customWidth="1"/>
    <col min="64" max="64" width="16.44140625" bestFit="1" customWidth="1"/>
    <col min="65" max="65" width="29.5546875" bestFit="1" customWidth="1"/>
    <col min="66" max="66" width="22.6640625" bestFit="1" customWidth="1"/>
  </cols>
  <sheetData>
    <row r="2" spans="1:16">
      <c r="A2" s="7" t="s">
        <v>1</v>
      </c>
      <c r="B2" t="s">
        <v>52</v>
      </c>
    </row>
    <row r="4" spans="1:16">
      <c r="B4" s="7" t="s">
        <v>53</v>
      </c>
    </row>
    <row r="5" spans="1:16">
      <c r="B5" t="s">
        <v>56</v>
      </c>
      <c r="F5" t="s">
        <v>59</v>
      </c>
      <c r="J5" t="s">
        <v>61</v>
      </c>
      <c r="N5" t="s">
        <v>57</v>
      </c>
      <c r="O5" t="s">
        <v>58</v>
      </c>
      <c r="P5" t="s">
        <v>60</v>
      </c>
    </row>
    <row r="6" spans="1:16">
      <c r="A6" s="7" t="s">
        <v>55</v>
      </c>
      <c r="B6">
        <v>1</v>
      </c>
      <c r="C6">
        <v>2</v>
      </c>
      <c r="D6">
        <v>3</v>
      </c>
      <c r="E6">
        <v>4</v>
      </c>
      <c r="F6">
        <v>1</v>
      </c>
      <c r="G6">
        <v>2</v>
      </c>
      <c r="H6">
        <v>3</v>
      </c>
      <c r="I6">
        <v>4</v>
      </c>
      <c r="J6">
        <v>1</v>
      </c>
      <c r="K6">
        <v>2</v>
      </c>
      <c r="L6">
        <v>3</v>
      </c>
      <c r="M6">
        <v>4</v>
      </c>
    </row>
    <row r="7" spans="1:16">
      <c r="A7" s="8">
        <v>37</v>
      </c>
      <c r="E7">
        <v>557.85</v>
      </c>
      <c r="I7">
        <v>139.46250000000001</v>
      </c>
      <c r="M7">
        <v>55.784999999999997</v>
      </c>
      <c r="N7">
        <v>557.85</v>
      </c>
      <c r="O7">
        <v>139.46250000000001</v>
      </c>
      <c r="P7">
        <v>55.784999999999997</v>
      </c>
    </row>
    <row r="8" spans="1:16">
      <c r="A8" s="8">
        <v>55</v>
      </c>
      <c r="B8">
        <v>1097.9000000000001</v>
      </c>
      <c r="F8">
        <v>1097.9000000000001</v>
      </c>
      <c r="J8">
        <v>109.78999999999999</v>
      </c>
      <c r="N8">
        <v>1097.9000000000001</v>
      </c>
      <c r="O8">
        <v>1097.9000000000001</v>
      </c>
      <c r="P8">
        <v>109.78999999999999</v>
      </c>
    </row>
    <row r="9" spans="1:16">
      <c r="A9" s="8">
        <v>70</v>
      </c>
      <c r="B9">
        <v>709.16</v>
      </c>
      <c r="E9">
        <v>195.45</v>
      </c>
      <c r="F9">
        <v>709.16</v>
      </c>
      <c r="I9">
        <v>48.862499999999997</v>
      </c>
      <c r="J9">
        <v>70.915999999999997</v>
      </c>
      <c r="M9">
        <v>19.545000000000002</v>
      </c>
      <c r="N9">
        <v>904.6099999999999</v>
      </c>
      <c r="O9">
        <v>758.02249999999992</v>
      </c>
      <c r="P9">
        <v>90.460999999999999</v>
      </c>
    </row>
    <row r="10" spans="1:16">
      <c r="A10" s="8">
        <v>100</v>
      </c>
      <c r="B10">
        <v>964.69</v>
      </c>
      <c r="C10">
        <v>631.69000000000005</v>
      </c>
      <c r="E10">
        <v>877.2</v>
      </c>
      <c r="F10">
        <v>964.69</v>
      </c>
      <c r="G10">
        <v>315.84500000000003</v>
      </c>
      <c r="I10">
        <v>219.3</v>
      </c>
      <c r="J10">
        <v>96.468999999999994</v>
      </c>
      <c r="K10">
        <v>63.168999999999997</v>
      </c>
      <c r="M10">
        <v>87.72</v>
      </c>
      <c r="N10">
        <v>2473.58</v>
      </c>
      <c r="O10">
        <v>1499.835</v>
      </c>
      <c r="P10">
        <v>247.35799999999998</v>
      </c>
    </row>
    <row r="11" spans="1:16">
      <c r="A11" s="8">
        <v>110</v>
      </c>
      <c r="C11">
        <v>1336.68</v>
      </c>
      <c r="G11">
        <v>668.34</v>
      </c>
      <c r="K11">
        <v>133.66800000000001</v>
      </c>
      <c r="N11">
        <v>1336.68</v>
      </c>
      <c r="O11">
        <v>668.34</v>
      </c>
      <c r="P11">
        <v>133.66800000000001</v>
      </c>
    </row>
    <row r="12" spans="1:16">
      <c r="A12" s="8">
        <v>121</v>
      </c>
      <c r="C12">
        <v>1110.9000000000001</v>
      </c>
      <c r="D12">
        <v>831.28</v>
      </c>
      <c r="G12">
        <v>555.45000000000005</v>
      </c>
      <c r="H12">
        <v>277.09333329999998</v>
      </c>
      <c r="K12">
        <v>111.09</v>
      </c>
      <c r="L12">
        <v>83.128</v>
      </c>
      <c r="N12">
        <v>1942.18</v>
      </c>
      <c r="O12">
        <v>832.54333330000009</v>
      </c>
      <c r="P12">
        <v>194.21800000000002</v>
      </c>
    </row>
    <row r="13" spans="1:16">
      <c r="A13" s="8">
        <v>340</v>
      </c>
      <c r="C13">
        <v>893.89</v>
      </c>
      <c r="D13">
        <v>1198.9100000000001</v>
      </c>
      <c r="G13">
        <v>446.94499999999999</v>
      </c>
      <c r="H13">
        <v>399.63666669999998</v>
      </c>
      <c r="K13">
        <v>89.388999999999996</v>
      </c>
      <c r="L13">
        <v>119.89100000000001</v>
      </c>
      <c r="N13">
        <v>2092.8000000000002</v>
      </c>
      <c r="O13">
        <v>846.58166669999991</v>
      </c>
      <c r="P13">
        <v>209.28</v>
      </c>
    </row>
    <row r="14" spans="1:16">
      <c r="A14" s="8">
        <v>400</v>
      </c>
      <c r="B14">
        <v>911.44</v>
      </c>
      <c r="C14">
        <v>1794.92</v>
      </c>
      <c r="F14">
        <v>911.44</v>
      </c>
      <c r="G14">
        <v>897.46</v>
      </c>
      <c r="J14">
        <v>91.144000000000005</v>
      </c>
      <c r="K14">
        <v>179.49199999999999</v>
      </c>
      <c r="N14">
        <v>2706.36</v>
      </c>
      <c r="O14">
        <v>1808.9</v>
      </c>
      <c r="P14">
        <v>270.63599999999997</v>
      </c>
    </row>
    <row r="15" spans="1:16">
      <c r="A15" s="8">
        <v>450</v>
      </c>
      <c r="D15">
        <v>1666.61</v>
      </c>
      <c r="H15">
        <v>555.53666669999996</v>
      </c>
      <c r="L15">
        <v>166.661</v>
      </c>
      <c r="N15">
        <v>1666.61</v>
      </c>
      <c r="O15">
        <v>555.53666669999996</v>
      </c>
      <c r="P15">
        <v>166.661</v>
      </c>
    </row>
    <row r="16" spans="1:16">
      <c r="A16" s="8">
        <v>500</v>
      </c>
      <c r="B16">
        <v>910.29</v>
      </c>
      <c r="D16">
        <v>4404.63</v>
      </c>
      <c r="F16">
        <v>910.29</v>
      </c>
      <c r="H16">
        <v>1468.21</v>
      </c>
      <c r="J16">
        <v>91.028999999999996</v>
      </c>
      <c r="L16">
        <v>440.46299999999997</v>
      </c>
      <c r="N16">
        <v>5314.92</v>
      </c>
      <c r="O16">
        <v>2378.5</v>
      </c>
      <c r="P16">
        <v>531.49199999999996</v>
      </c>
    </row>
    <row r="17" spans="1:16">
      <c r="A17" s="8" t="s">
        <v>54</v>
      </c>
      <c r="B17">
        <v>4593.4799999999996</v>
      </c>
      <c r="C17">
        <v>5768.08</v>
      </c>
      <c r="D17">
        <v>8101.43</v>
      </c>
      <c r="E17">
        <v>1630.5</v>
      </c>
      <c r="F17">
        <v>4593.4799999999996</v>
      </c>
      <c r="G17">
        <v>2884.04</v>
      </c>
      <c r="H17">
        <v>2700.4766666999999</v>
      </c>
      <c r="I17">
        <v>407.625</v>
      </c>
      <c r="J17">
        <v>459.34799999999996</v>
      </c>
      <c r="K17">
        <v>576.80799999999999</v>
      </c>
      <c r="L17">
        <v>810.14300000000003</v>
      </c>
      <c r="M17">
        <v>163.05000000000001</v>
      </c>
      <c r="N17">
        <v>20093.489999999998</v>
      </c>
      <c r="O17">
        <v>10585.621666700001</v>
      </c>
      <c r="P17">
        <v>2009.3489999999999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T64"/>
  <sheetViews>
    <sheetView workbookViewId="0">
      <selection activeCell="H7" sqref="H7"/>
    </sheetView>
  </sheetViews>
  <sheetFormatPr defaultColWidth="9" defaultRowHeight="15.6"/>
  <cols>
    <col min="1" max="2" width="9" style="3"/>
    <col min="3" max="3" width="10.77734375" style="3" customWidth="1"/>
    <col min="4" max="4" width="13.109375" style="3" customWidth="1"/>
    <col min="5" max="5" width="17.88671875" style="3" customWidth="1"/>
    <col min="6" max="6" width="30.5546875" style="3" customWidth="1"/>
    <col min="7" max="7" width="19.21875" style="3" customWidth="1"/>
    <col min="8" max="8" width="18.6640625" style="3" customWidth="1"/>
    <col min="9" max="9" width="19.77734375" style="3" customWidth="1"/>
    <col min="10" max="10" width="16.33203125" style="3" customWidth="1"/>
    <col min="11" max="11" width="19.44140625" style="3" customWidth="1"/>
    <col min="12" max="12" width="16.33203125" style="3" customWidth="1"/>
    <col min="13" max="13" width="14.21875" style="3" customWidth="1"/>
    <col min="14" max="15" width="9" style="3"/>
    <col min="16" max="16" width="30.77734375" style="3" customWidth="1"/>
    <col min="17" max="17" width="13.5546875" style="3" customWidth="1"/>
    <col min="18" max="18" width="11.6640625" style="3" customWidth="1"/>
    <col min="19" max="19" width="21.109375" style="3" customWidth="1"/>
    <col min="20" max="20" width="10.77734375" style="3" customWidth="1"/>
    <col min="21" max="16384" width="9" style="3"/>
  </cols>
  <sheetData>
    <row r="1" spans="1:20">
      <c r="A1" s="3" t="s">
        <v>0</v>
      </c>
      <c r="B1" s="3" t="s">
        <v>1</v>
      </c>
      <c r="C1" s="3" t="s">
        <v>2</v>
      </c>
      <c r="D1" s="3" t="s">
        <v>75</v>
      </c>
      <c r="E1" s="3" t="s">
        <v>4</v>
      </c>
      <c r="F1" s="4" t="s">
        <v>76</v>
      </c>
      <c r="G1" s="3" t="s">
        <v>77</v>
      </c>
    </row>
    <row r="2" spans="1:20">
      <c r="A2" s="3" t="s">
        <v>6</v>
      </c>
      <c r="B2" s="3" t="s">
        <v>26</v>
      </c>
      <c r="C2" s="3">
        <v>2</v>
      </c>
      <c r="D2" s="10">
        <v>1336.68</v>
      </c>
      <c r="E2" s="3">
        <v>110</v>
      </c>
      <c r="F2" s="10">
        <v>668.34</v>
      </c>
      <c r="G2" s="10">
        <v>133.66800000000001</v>
      </c>
    </row>
    <row r="3" spans="1:20">
      <c r="A3" s="3" t="s">
        <v>8</v>
      </c>
      <c r="B3" s="3" t="s">
        <v>26</v>
      </c>
      <c r="C3" s="3">
        <v>4</v>
      </c>
      <c r="D3" s="10">
        <v>389.49</v>
      </c>
      <c r="E3" s="3">
        <v>37</v>
      </c>
      <c r="F3" s="10">
        <v>97.372500000000002</v>
      </c>
      <c r="G3" s="10">
        <v>38.948999999999998</v>
      </c>
      <c r="I3" s="12" t="s">
        <v>62</v>
      </c>
      <c r="J3" s="12"/>
      <c r="K3" s="12"/>
      <c r="L3" s="12" t="s">
        <v>10</v>
      </c>
      <c r="M3" s="12"/>
      <c r="Q3" s="12" t="s">
        <v>11</v>
      </c>
      <c r="R3" s="12"/>
      <c r="S3" s="12"/>
    </row>
    <row r="4" spans="1:20">
      <c r="A4" s="3" t="s">
        <v>12</v>
      </c>
      <c r="B4" s="3" t="s">
        <v>13</v>
      </c>
      <c r="C4" s="3">
        <v>2</v>
      </c>
      <c r="D4" s="10">
        <v>1110.9000000000001</v>
      </c>
      <c r="E4" s="3">
        <v>121</v>
      </c>
      <c r="F4" s="10">
        <v>555.45000000000005</v>
      </c>
      <c r="G4" s="10">
        <v>111.09</v>
      </c>
      <c r="I4" s="3" t="s">
        <v>1</v>
      </c>
      <c r="J4" s="3" t="s">
        <v>63</v>
      </c>
      <c r="L4" s="3" t="s">
        <v>1</v>
      </c>
      <c r="M4" s="3" t="s">
        <v>94</v>
      </c>
    </row>
    <row r="5" spans="1:20">
      <c r="A5" s="3" t="s">
        <v>14</v>
      </c>
      <c r="B5" s="3" t="s">
        <v>13</v>
      </c>
      <c r="C5" s="3">
        <v>2</v>
      </c>
      <c r="D5" s="10">
        <v>1794.92</v>
      </c>
      <c r="E5" s="3">
        <v>400</v>
      </c>
      <c r="F5" s="10">
        <v>897.46</v>
      </c>
      <c r="G5" s="10">
        <v>179.49199999999999</v>
      </c>
      <c r="I5" s="3" t="s">
        <v>26</v>
      </c>
      <c r="J5" s="3">
        <f>SUMIFS($C$2:$C$21,$B$2:$B$21,I5)</f>
        <v>6</v>
      </c>
      <c r="L5" s="3" t="s">
        <v>7</v>
      </c>
      <c r="M5" s="3">
        <f>COUNTIF($B$2:$B$21,L5)</f>
        <v>6</v>
      </c>
      <c r="P5" s="3" t="s">
        <v>96</v>
      </c>
      <c r="Q5" s="3" t="s">
        <v>95</v>
      </c>
      <c r="R5" s="3" t="s">
        <v>90</v>
      </c>
    </row>
    <row r="6" spans="1:20">
      <c r="A6" s="3" t="s">
        <v>16</v>
      </c>
      <c r="B6" s="3" t="s">
        <v>13</v>
      </c>
      <c r="C6" s="3">
        <v>3</v>
      </c>
      <c r="D6" s="10">
        <v>2133.58</v>
      </c>
      <c r="E6" s="3">
        <v>500</v>
      </c>
      <c r="F6" s="10">
        <v>711.19333329999995</v>
      </c>
      <c r="G6" s="10">
        <v>213.358</v>
      </c>
      <c r="I6" s="3" t="s">
        <v>13</v>
      </c>
      <c r="J6" s="3">
        <f t="shared" ref="J6:J12" si="0">SUMIFS($C$2:$C$21,$B$2:$B$21,I6)</f>
        <v>7</v>
      </c>
      <c r="L6" s="3" t="s">
        <v>9</v>
      </c>
      <c r="M6" s="3">
        <f t="shared" ref="M6:M12" si="1">COUNTIF($B$2:$B$21,L6)</f>
        <v>3</v>
      </c>
      <c r="P6" s="3" t="s">
        <v>15</v>
      </c>
      <c r="Q6" s="3">
        <f>COUNTIF(D2:D21,"&gt;500")</f>
        <v>16</v>
      </c>
    </row>
    <row r="7" spans="1:20">
      <c r="A7" s="3" t="s">
        <v>19</v>
      </c>
      <c r="B7" s="3" t="s">
        <v>28</v>
      </c>
      <c r="C7" s="3">
        <v>1</v>
      </c>
      <c r="D7" s="10">
        <v>709.16</v>
      </c>
      <c r="E7" s="3">
        <v>70</v>
      </c>
      <c r="F7" s="10">
        <v>709.16</v>
      </c>
      <c r="G7" s="10">
        <v>70.915999999999997</v>
      </c>
      <c r="I7" s="3" t="s">
        <v>28</v>
      </c>
      <c r="J7" s="3">
        <f t="shared" si="0"/>
        <v>1</v>
      </c>
      <c r="L7" s="3" t="s">
        <v>13</v>
      </c>
      <c r="M7" s="3">
        <f t="shared" si="1"/>
        <v>3</v>
      </c>
      <c r="P7" s="3" t="s">
        <v>18</v>
      </c>
      <c r="Q7" s="10">
        <f>SUMIF(D2:D21,"&gt;500")</f>
        <v>19007.61</v>
      </c>
      <c r="R7" s="3" t="s">
        <v>78</v>
      </c>
    </row>
    <row r="8" spans="1:20">
      <c r="A8" s="3" t="s">
        <v>21</v>
      </c>
      <c r="B8" s="3" t="s">
        <v>17</v>
      </c>
      <c r="C8" s="3">
        <v>3</v>
      </c>
      <c r="D8" s="10">
        <v>1198.9100000000001</v>
      </c>
      <c r="E8" s="3">
        <v>340</v>
      </c>
      <c r="F8" s="10">
        <v>399.63666669999998</v>
      </c>
      <c r="G8" s="10">
        <v>119.89100000000001</v>
      </c>
      <c r="I8" s="3" t="s">
        <v>17</v>
      </c>
      <c r="J8" s="3">
        <f t="shared" si="0"/>
        <v>3</v>
      </c>
      <c r="L8" s="3" t="s">
        <v>17</v>
      </c>
      <c r="M8" s="3">
        <f t="shared" si="1"/>
        <v>1</v>
      </c>
    </row>
    <row r="9" spans="1:20">
      <c r="A9" s="3" t="s">
        <v>22</v>
      </c>
      <c r="B9" s="3" t="s">
        <v>9</v>
      </c>
      <c r="C9" s="3">
        <v>4</v>
      </c>
      <c r="D9" s="10">
        <v>877.2</v>
      </c>
      <c r="E9" s="3">
        <v>100</v>
      </c>
      <c r="F9" s="10">
        <v>219.3</v>
      </c>
      <c r="G9" s="10">
        <v>87.72</v>
      </c>
      <c r="I9" s="3" t="s">
        <v>9</v>
      </c>
      <c r="J9" s="3">
        <f t="shared" si="0"/>
        <v>11</v>
      </c>
      <c r="L9" s="3" t="s">
        <v>20</v>
      </c>
      <c r="M9" s="3">
        <f t="shared" si="1"/>
        <v>3</v>
      </c>
    </row>
    <row r="10" spans="1:20">
      <c r="A10" s="3" t="s">
        <v>23</v>
      </c>
      <c r="B10" s="3" t="s">
        <v>9</v>
      </c>
      <c r="C10" s="3">
        <v>4</v>
      </c>
      <c r="D10" s="10">
        <v>195.45</v>
      </c>
      <c r="E10" s="3">
        <v>70</v>
      </c>
      <c r="F10" s="10">
        <v>48.862499999999997</v>
      </c>
      <c r="G10" s="10">
        <v>19.545000000000002</v>
      </c>
      <c r="I10" s="3" t="s">
        <v>7</v>
      </c>
      <c r="J10" s="3">
        <f t="shared" si="0"/>
        <v>9</v>
      </c>
      <c r="L10" s="3" t="s">
        <v>24</v>
      </c>
      <c r="M10" s="3">
        <f t="shared" si="1"/>
        <v>1</v>
      </c>
    </row>
    <row r="11" spans="1:20">
      <c r="A11" s="3" t="s">
        <v>25</v>
      </c>
      <c r="B11" s="3" t="s">
        <v>9</v>
      </c>
      <c r="C11" s="3">
        <v>3</v>
      </c>
      <c r="D11" s="10">
        <v>831.28</v>
      </c>
      <c r="E11" s="3">
        <v>121</v>
      </c>
      <c r="F11" s="10">
        <v>277.09333329999998</v>
      </c>
      <c r="G11" s="10">
        <v>83.128</v>
      </c>
      <c r="I11" s="3" t="s">
        <v>20</v>
      </c>
      <c r="J11" s="3">
        <f t="shared" si="0"/>
        <v>9</v>
      </c>
      <c r="L11" s="3" t="s">
        <v>26</v>
      </c>
      <c r="M11" s="3">
        <f t="shared" si="1"/>
        <v>2</v>
      </c>
    </row>
    <row r="12" spans="1:20">
      <c r="A12" s="3" t="s">
        <v>27</v>
      </c>
      <c r="B12" s="3" t="s">
        <v>7</v>
      </c>
      <c r="C12" s="3">
        <v>1</v>
      </c>
      <c r="D12" s="10">
        <v>964.69</v>
      </c>
      <c r="E12" s="3">
        <v>100</v>
      </c>
      <c r="F12" s="10">
        <v>964.69</v>
      </c>
      <c r="G12" s="10">
        <v>96.468999999999994</v>
      </c>
      <c r="I12" s="3" t="s">
        <v>24</v>
      </c>
      <c r="J12" s="3">
        <f t="shared" si="0"/>
        <v>1</v>
      </c>
      <c r="L12" s="3" t="s">
        <v>28</v>
      </c>
      <c r="M12" s="3">
        <f t="shared" si="1"/>
        <v>1</v>
      </c>
    </row>
    <row r="13" spans="1:20">
      <c r="A13" s="3" t="s">
        <v>29</v>
      </c>
      <c r="B13" s="3" t="s">
        <v>7</v>
      </c>
      <c r="C13" s="3">
        <v>3</v>
      </c>
      <c r="D13" s="10">
        <v>1666.61</v>
      </c>
      <c r="E13" s="3">
        <v>450</v>
      </c>
      <c r="F13" s="10">
        <v>555.53666669999996</v>
      </c>
      <c r="G13" s="10">
        <v>166.661</v>
      </c>
    </row>
    <row r="14" spans="1:20">
      <c r="A14" s="3" t="s">
        <v>30</v>
      </c>
      <c r="B14" s="3" t="s">
        <v>7</v>
      </c>
      <c r="C14" s="3">
        <v>1</v>
      </c>
      <c r="D14" s="10">
        <v>910.29</v>
      </c>
      <c r="E14" s="3">
        <v>500</v>
      </c>
      <c r="F14" s="10">
        <v>910.29</v>
      </c>
      <c r="G14" s="10">
        <v>91.028999999999996</v>
      </c>
      <c r="I14"/>
    </row>
    <row r="15" spans="1:20">
      <c r="A15" s="3" t="s">
        <v>31</v>
      </c>
      <c r="B15" s="3" t="s">
        <v>7</v>
      </c>
      <c r="C15" s="3">
        <v>2</v>
      </c>
      <c r="D15" s="10">
        <v>631.69000000000005</v>
      </c>
      <c r="E15" s="3">
        <v>100</v>
      </c>
      <c r="F15" s="10">
        <v>315.84500000000003</v>
      </c>
      <c r="G15" s="10">
        <v>63.168999999999997</v>
      </c>
      <c r="I15"/>
      <c r="L15" s="3" t="s">
        <v>32</v>
      </c>
      <c r="Q15" s="12" t="s">
        <v>33</v>
      </c>
      <c r="R15" s="12"/>
      <c r="S15" s="12"/>
      <c r="T15" s="12"/>
    </row>
    <row r="16" spans="1:20">
      <c r="A16" s="3" t="s">
        <v>34</v>
      </c>
      <c r="B16" s="3" t="s">
        <v>7</v>
      </c>
      <c r="C16" s="3">
        <v>1</v>
      </c>
      <c r="D16" s="10">
        <v>332.58</v>
      </c>
      <c r="E16" s="3">
        <v>55</v>
      </c>
      <c r="F16" s="10">
        <v>332.58</v>
      </c>
      <c r="G16" s="10">
        <v>33.258000000000003</v>
      </c>
      <c r="I16"/>
      <c r="K16" s="3" t="s">
        <v>1</v>
      </c>
      <c r="L16" s="3" t="s">
        <v>97</v>
      </c>
      <c r="R16" s="3" t="s">
        <v>1</v>
      </c>
      <c r="S16" s="6" t="s">
        <v>79</v>
      </c>
      <c r="T16" s="6" t="s">
        <v>89</v>
      </c>
    </row>
    <row r="17" spans="1:19">
      <c r="A17" s="3" t="s">
        <v>35</v>
      </c>
      <c r="B17" s="3" t="s">
        <v>7</v>
      </c>
      <c r="C17" s="3">
        <v>1</v>
      </c>
      <c r="D17" s="10">
        <v>911.44</v>
      </c>
      <c r="E17" s="3">
        <v>400</v>
      </c>
      <c r="F17" s="10">
        <v>911.44</v>
      </c>
      <c r="G17" s="10">
        <v>91.144000000000005</v>
      </c>
      <c r="I17"/>
      <c r="K17" s="3" t="s">
        <v>7</v>
      </c>
      <c r="L17" s="10">
        <f>SUMIF($B$2:$B21,K17,$D$2:$D$21)</f>
        <v>5417.3000000000011</v>
      </c>
      <c r="R17" s="3" t="s">
        <v>7</v>
      </c>
      <c r="S17" s="10">
        <f>AVERAGEIF($B$2:$B$21,R17,$D$2:$D$21)</f>
        <v>902.88333333333355</v>
      </c>
    </row>
    <row r="18" spans="1:19">
      <c r="A18" s="3" t="s">
        <v>36</v>
      </c>
      <c r="B18" s="3" t="s">
        <v>20</v>
      </c>
      <c r="C18" s="3">
        <v>4</v>
      </c>
      <c r="D18" s="10">
        <v>168.36</v>
      </c>
      <c r="E18" s="3">
        <v>37</v>
      </c>
      <c r="F18" s="10">
        <v>42.09</v>
      </c>
      <c r="G18" s="10">
        <v>16.835999999999999</v>
      </c>
      <c r="I18"/>
      <c r="K18" s="3" t="s">
        <v>9</v>
      </c>
      <c r="L18" s="10">
        <f>SUMIF($B$2:$B21,K18,$D$2:$D$21)</f>
        <v>1903.93</v>
      </c>
      <c r="R18" s="3" t="s">
        <v>9</v>
      </c>
      <c r="S18" s="10">
        <f t="shared" ref="S18:S24" si="2">AVERAGEIF($B$2:$B$21,R18,$D$2:$D$21)</f>
        <v>634.64333333333332</v>
      </c>
    </row>
    <row r="19" spans="1:19">
      <c r="A19" s="3" t="s">
        <v>37</v>
      </c>
      <c r="B19" s="3" t="s">
        <v>20</v>
      </c>
      <c r="C19" s="3">
        <v>2</v>
      </c>
      <c r="D19" s="10">
        <v>893.89</v>
      </c>
      <c r="E19" s="3">
        <v>340</v>
      </c>
      <c r="F19" s="10">
        <v>446.94499999999999</v>
      </c>
      <c r="G19" s="10">
        <v>89.388999999999996</v>
      </c>
      <c r="I19"/>
      <c r="K19" s="3" t="s">
        <v>13</v>
      </c>
      <c r="L19" s="10">
        <f>SUMIF($B$2:$B21,K19,$D$2:$D$21)</f>
        <v>5039.3999999999996</v>
      </c>
      <c r="R19" s="3" t="s">
        <v>13</v>
      </c>
      <c r="S19" s="10">
        <f t="shared" si="2"/>
        <v>1679.8</v>
      </c>
    </row>
    <row r="20" spans="1:19">
      <c r="A20" s="3" t="s">
        <v>38</v>
      </c>
      <c r="B20" s="3" t="s">
        <v>20</v>
      </c>
      <c r="C20" s="3">
        <v>3</v>
      </c>
      <c r="D20" s="10">
        <v>2271.0500000000002</v>
      </c>
      <c r="E20" s="3">
        <v>500</v>
      </c>
      <c r="F20" s="10">
        <v>757.01666669999997</v>
      </c>
      <c r="G20" s="10">
        <v>227.10499999999999</v>
      </c>
      <c r="I20"/>
      <c r="K20" s="3" t="s">
        <v>17</v>
      </c>
      <c r="L20" s="10">
        <f>SUMIF($B$2:$B21,K20,$D$2:$D$21)</f>
        <v>1198.9100000000001</v>
      </c>
      <c r="R20" s="3" t="s">
        <v>17</v>
      </c>
      <c r="S20" s="10">
        <f t="shared" si="2"/>
        <v>1198.9100000000001</v>
      </c>
    </row>
    <row r="21" spans="1:19">
      <c r="A21" s="3" t="s">
        <v>39</v>
      </c>
      <c r="B21" s="3" t="s">
        <v>24</v>
      </c>
      <c r="C21" s="3">
        <v>1</v>
      </c>
      <c r="D21" s="10">
        <v>765.32</v>
      </c>
      <c r="E21" s="3">
        <v>55</v>
      </c>
      <c r="F21" s="10">
        <v>765.32</v>
      </c>
      <c r="G21" s="10">
        <v>76.531999999999996</v>
      </c>
      <c r="I21"/>
      <c r="K21" s="3" t="s">
        <v>20</v>
      </c>
      <c r="L21" s="10">
        <f>SUMIF($B$2:$B21,K21,$D$2:$D$21)</f>
        <v>3333.3</v>
      </c>
      <c r="R21" s="3" t="s">
        <v>20</v>
      </c>
      <c r="S21" s="10">
        <f t="shared" si="2"/>
        <v>1111.1000000000001</v>
      </c>
    </row>
    <row r="22" spans="1:19">
      <c r="I22"/>
      <c r="K22" s="3" t="s">
        <v>24</v>
      </c>
      <c r="L22" s="10">
        <f>SUMIF($B$2:$B21,K22,$D$2:$D$21)</f>
        <v>765.32</v>
      </c>
      <c r="R22" s="3" t="s">
        <v>24</v>
      </c>
      <c r="S22" s="10">
        <f t="shared" si="2"/>
        <v>765.32</v>
      </c>
    </row>
    <row r="23" spans="1:19">
      <c r="C23" s="3" t="s">
        <v>91</v>
      </c>
      <c r="D23" s="3" t="s">
        <v>3</v>
      </c>
      <c r="E23" s="3" t="s">
        <v>92</v>
      </c>
      <c r="F23" s="3" t="s">
        <v>93</v>
      </c>
      <c r="G23" s="3" t="s">
        <v>5</v>
      </c>
      <c r="I23"/>
      <c r="K23" s="3" t="s">
        <v>26</v>
      </c>
      <c r="L23" s="10">
        <f>SUMIF($B$2:$B21,K23,$D$2:$D$21)</f>
        <v>1726.17</v>
      </c>
      <c r="R23" s="3" t="s">
        <v>26</v>
      </c>
      <c r="S23" s="10">
        <f t="shared" si="2"/>
        <v>863.08500000000004</v>
      </c>
    </row>
    <row r="24" spans="1:19">
      <c r="C24" s="3" t="s">
        <v>87</v>
      </c>
      <c r="D24" s="3">
        <f>AVERAGE(D2:D21)</f>
        <v>1004.6745000000003</v>
      </c>
      <c r="E24" s="3">
        <f>AVERAGE(E2:E21)</f>
        <v>220.3</v>
      </c>
      <c r="F24" s="3">
        <f>AVERAGE(F2:F21)</f>
        <v>529.28108333500006</v>
      </c>
      <c r="G24" s="3">
        <f>AVERAGE(G2:G21)</f>
        <v>100.46745</v>
      </c>
      <c r="I24"/>
      <c r="K24" s="3" t="s">
        <v>28</v>
      </c>
      <c r="L24" s="10">
        <f>SUMIF($B$2:$B21,K24,$D$2:$D$21)</f>
        <v>709.16</v>
      </c>
      <c r="R24" s="3" t="s">
        <v>28</v>
      </c>
      <c r="S24" s="10">
        <f t="shared" si="2"/>
        <v>709.16</v>
      </c>
    </row>
    <row r="25" spans="1:19">
      <c r="C25" s="3" t="s">
        <v>88</v>
      </c>
      <c r="D25" s="3">
        <f>SUM(D2:D21)</f>
        <v>20093.490000000005</v>
      </c>
      <c r="E25" s="3">
        <f>SUM(E2:E21)</f>
        <v>4406</v>
      </c>
      <c r="F25" s="3">
        <f>SUM(F2:F21)</f>
        <v>10585.621666700001</v>
      </c>
      <c r="G25" s="3">
        <f>SUM(G2:G21)</f>
        <v>2009.3489999999999</v>
      </c>
      <c r="I25"/>
    </row>
    <row r="26" spans="1:19">
      <c r="C26" s="3" t="s">
        <v>48</v>
      </c>
      <c r="D26" s="3">
        <f>MAX(D2:D21)</f>
        <v>2271.0500000000002</v>
      </c>
      <c r="E26" s="3">
        <f>MAX(E2:E21)</f>
        <v>500</v>
      </c>
      <c r="F26" s="3">
        <f>MAX(F2:F21)</f>
        <v>964.69</v>
      </c>
      <c r="G26" s="3">
        <f>MAX(G2:G21)</f>
        <v>227.10499999999999</v>
      </c>
      <c r="I26"/>
    </row>
    <row r="27" spans="1:19">
      <c r="C27" s="3" t="s">
        <v>49</v>
      </c>
      <c r="D27" s="3">
        <f>MIN(D2:D21)</f>
        <v>168.36</v>
      </c>
      <c r="E27" s="3">
        <f>MIN(E2:E21)</f>
        <v>37</v>
      </c>
      <c r="F27" s="3">
        <f>MIN(F2:F21)</f>
        <v>42.09</v>
      </c>
      <c r="G27" s="3">
        <f>MIN(G2:G21)</f>
        <v>16.835999999999999</v>
      </c>
    </row>
    <row r="29" spans="1:19">
      <c r="D29" s="12" t="s">
        <v>50</v>
      </c>
      <c r="E29" s="12"/>
      <c r="F29" s="12"/>
      <c r="K29" s="3" t="s">
        <v>47</v>
      </c>
      <c r="M29" s="3" t="s">
        <v>46</v>
      </c>
      <c r="P29" s="3" t="s">
        <v>45</v>
      </c>
    </row>
    <row r="30" spans="1:19">
      <c r="E30" s="3" t="s">
        <v>40</v>
      </c>
      <c r="F30" s="3" t="s">
        <v>82</v>
      </c>
      <c r="G30" s="3" t="s">
        <v>83</v>
      </c>
      <c r="H30" s="3" t="s">
        <v>84</v>
      </c>
      <c r="I30" s="3" t="s">
        <v>98</v>
      </c>
      <c r="K30" s="3" t="s">
        <v>40</v>
      </c>
      <c r="L30" s="3" t="s">
        <v>80</v>
      </c>
      <c r="M30" s="3" t="s">
        <v>81</v>
      </c>
      <c r="P30" s="3" t="s">
        <v>40</v>
      </c>
      <c r="Q30" s="3" t="s">
        <v>43</v>
      </c>
      <c r="R30" s="3" t="s">
        <v>44</v>
      </c>
    </row>
    <row r="31" spans="1:19">
      <c r="D31" s="3" t="s">
        <v>7</v>
      </c>
      <c r="E31" s="3" t="s">
        <v>7</v>
      </c>
      <c r="F31" s="3">
        <f>SUMIF($B$2:$B$21,E31,$G$2:$G$21)</f>
        <v>541.73</v>
      </c>
      <c r="G31" s="3">
        <f>AVERAGEIF($B$2:$B$21,E31,$G$2:$G$21)</f>
        <v>90.288333333333341</v>
      </c>
      <c r="H31" s="3">
        <f>_xlfn.MAXIFS($G$2:$G$21,$B$2:$B$21,E31)</f>
        <v>166.661</v>
      </c>
      <c r="I31" s="3">
        <f>_xlfn.MINIFS($G$2:$G$21,$B$2:$B$21,E31)</f>
        <v>33.258000000000003</v>
      </c>
      <c r="K31" s="3" t="s">
        <v>7</v>
      </c>
      <c r="L31" s="10">
        <f>_xlfn.MAXIFS($D$2:$D$21,$B$2:$B$21,K31)</f>
        <v>1666.61</v>
      </c>
      <c r="M31" s="10">
        <f>_xlfn.MINIFS($D$2:$D$21,$B$2:$B$21,K31)</f>
        <v>332.58</v>
      </c>
      <c r="P31" s="3" t="s">
        <v>7</v>
      </c>
      <c r="Q31" s="3">
        <f>COUNTIFS($B$2:$B$21,P31,$C$2:$C$21,"1")</f>
        <v>4</v>
      </c>
      <c r="R31" s="3">
        <f>COUNTIFS($B$2:$B$21,P31,$C$2:$C$21,"4")</f>
        <v>0</v>
      </c>
    </row>
    <row r="32" spans="1:19">
      <c r="D32" s="3" t="s">
        <v>9</v>
      </c>
      <c r="K32" s="3" t="s">
        <v>9</v>
      </c>
      <c r="L32" s="10">
        <f t="shared" ref="L32:L38" si="3">_xlfn.MAXIFS($D$2:$D$21,$B$2:$B$21,K32)</f>
        <v>877.2</v>
      </c>
      <c r="M32" s="10">
        <f t="shared" ref="M32:M38" si="4">_xlfn.MINIFS($D$2:$D$21,$B$2:$B$21,K32)</f>
        <v>195.45</v>
      </c>
      <c r="P32" s="3" t="s">
        <v>9</v>
      </c>
      <c r="Q32" s="3">
        <f t="shared" ref="Q32:Q38" si="5">COUNTIFS($B$2:$B$21,P32,$C$2:$C$21,"1")</f>
        <v>0</v>
      </c>
      <c r="R32" s="3">
        <f t="shared" ref="R32:R38" si="6">COUNTIFS($B$2:$B$21,P32,$C$2:$C$21,"4")</f>
        <v>2</v>
      </c>
    </row>
    <row r="33" spans="3:18">
      <c r="D33" s="3" t="s">
        <v>13</v>
      </c>
      <c r="K33" s="3" t="s">
        <v>13</v>
      </c>
      <c r="L33" s="10">
        <f t="shared" si="3"/>
        <v>2133.58</v>
      </c>
      <c r="M33" s="10">
        <f t="shared" si="4"/>
        <v>1110.9000000000001</v>
      </c>
      <c r="P33" s="3" t="s">
        <v>13</v>
      </c>
      <c r="Q33" s="3">
        <f t="shared" si="5"/>
        <v>0</v>
      </c>
      <c r="R33" s="3">
        <f t="shared" si="6"/>
        <v>0</v>
      </c>
    </row>
    <row r="34" spans="3:18">
      <c r="D34" s="3" t="s">
        <v>17</v>
      </c>
      <c r="K34" s="3" t="s">
        <v>17</v>
      </c>
      <c r="L34" s="10">
        <f t="shared" si="3"/>
        <v>1198.9100000000001</v>
      </c>
      <c r="M34" s="10">
        <f t="shared" si="4"/>
        <v>1198.9100000000001</v>
      </c>
      <c r="P34" s="3" t="s">
        <v>17</v>
      </c>
      <c r="Q34" s="3">
        <f t="shared" si="5"/>
        <v>0</v>
      </c>
      <c r="R34" s="3">
        <f t="shared" si="6"/>
        <v>0</v>
      </c>
    </row>
    <row r="35" spans="3:18">
      <c r="D35" s="3" t="s">
        <v>20</v>
      </c>
      <c r="K35" s="3" t="s">
        <v>20</v>
      </c>
      <c r="L35" s="10">
        <f t="shared" si="3"/>
        <v>2271.0500000000002</v>
      </c>
      <c r="M35" s="10">
        <f t="shared" si="4"/>
        <v>168.36</v>
      </c>
      <c r="P35" s="3" t="s">
        <v>20</v>
      </c>
      <c r="Q35" s="3">
        <f t="shared" si="5"/>
        <v>0</v>
      </c>
      <c r="R35" s="3">
        <f t="shared" si="6"/>
        <v>1</v>
      </c>
    </row>
    <row r="36" spans="3:18">
      <c r="D36" s="3" t="s">
        <v>24</v>
      </c>
      <c r="K36" s="3" t="s">
        <v>24</v>
      </c>
      <c r="L36" s="10">
        <f t="shared" si="3"/>
        <v>765.32</v>
      </c>
      <c r="M36" s="10">
        <f t="shared" si="4"/>
        <v>765.32</v>
      </c>
      <c r="P36" s="3" t="s">
        <v>24</v>
      </c>
      <c r="Q36" s="3">
        <f t="shared" si="5"/>
        <v>1</v>
      </c>
      <c r="R36" s="3">
        <f t="shared" si="6"/>
        <v>0</v>
      </c>
    </row>
    <row r="37" spans="3:18">
      <c r="D37" s="3" t="s">
        <v>26</v>
      </c>
      <c r="K37" s="3" t="s">
        <v>26</v>
      </c>
      <c r="L37" s="10">
        <f t="shared" si="3"/>
        <v>1336.68</v>
      </c>
      <c r="M37" s="10">
        <f t="shared" si="4"/>
        <v>389.49</v>
      </c>
      <c r="P37" s="3" t="s">
        <v>26</v>
      </c>
      <c r="Q37" s="3">
        <f t="shared" si="5"/>
        <v>0</v>
      </c>
      <c r="R37" s="3">
        <f t="shared" si="6"/>
        <v>1</v>
      </c>
    </row>
    <row r="38" spans="3:18">
      <c r="D38" s="3" t="s">
        <v>28</v>
      </c>
      <c r="K38" s="3" t="s">
        <v>28</v>
      </c>
      <c r="L38" s="10">
        <f t="shared" si="3"/>
        <v>709.16</v>
      </c>
      <c r="M38" s="10">
        <f t="shared" si="4"/>
        <v>709.16</v>
      </c>
      <c r="P38" s="3" t="s">
        <v>28</v>
      </c>
      <c r="Q38" s="3">
        <f t="shared" si="5"/>
        <v>1</v>
      </c>
      <c r="R38" s="3">
        <f t="shared" si="6"/>
        <v>0</v>
      </c>
    </row>
    <row r="39" spans="3:18">
      <c r="D39"/>
    </row>
    <row r="40" spans="3:18">
      <c r="D40"/>
      <c r="E40" s="12" t="s">
        <v>51</v>
      </c>
      <c r="F40" s="12"/>
    </row>
    <row r="41" spans="3:18">
      <c r="D41" s="9" t="s">
        <v>1</v>
      </c>
      <c r="E41" s="9" t="s">
        <v>85</v>
      </c>
      <c r="K41" s="3" t="s">
        <v>41</v>
      </c>
    </row>
    <row r="42" spans="3:18">
      <c r="D42" t="s">
        <v>13</v>
      </c>
      <c r="E42" s="3">
        <f>AVERAGEIFS(F2:F21,$B$2:$B$21,D42)</f>
        <v>721.36777776666668</v>
      </c>
      <c r="K42" s="5">
        <f>MAX(D2:D21)</f>
        <v>2271.0500000000002</v>
      </c>
    </row>
    <row r="43" spans="3:18">
      <c r="D43"/>
    </row>
    <row r="44" spans="3:18">
      <c r="D44"/>
      <c r="K44" s="3" t="s">
        <v>42</v>
      </c>
    </row>
    <row r="45" spans="3:18">
      <c r="D45"/>
      <c r="K45" s="5">
        <f>MIN(D2:D21)</f>
        <v>168.36</v>
      </c>
    </row>
    <row r="46" spans="3:18">
      <c r="D46" s="11" t="s">
        <v>64</v>
      </c>
      <c r="E46" s="11"/>
    </row>
    <row r="47" spans="3:18">
      <c r="C47" s="3" t="s">
        <v>100</v>
      </c>
      <c r="D47" s="9" t="s">
        <v>99</v>
      </c>
      <c r="E47" s="9" t="s">
        <v>101</v>
      </c>
      <c r="F47" s="3" t="s">
        <v>86</v>
      </c>
    </row>
    <row r="48" spans="3:18">
      <c r="D48" s="9"/>
      <c r="E48" s="9"/>
    </row>
    <row r="49" spans="4:6">
      <c r="D49" s="9" t="s">
        <v>65</v>
      </c>
      <c r="E49" s="9"/>
      <c r="F49" s="3">
        <f>CORREL($D$2:$D$21,$G$2:$G$21)</f>
        <v>1.0000000000000002</v>
      </c>
    </row>
    <row r="50" spans="4:6">
      <c r="D50" s="9" t="s">
        <v>66</v>
      </c>
      <c r="E50" s="9"/>
      <c r="F50" s="3">
        <f>CORREL($D$2:$D$21,$F$2:$F$21)</f>
        <v>0.58746074544293725</v>
      </c>
    </row>
    <row r="51" spans="4:6">
      <c r="D51" s="9" t="s">
        <v>67</v>
      </c>
      <c r="E51" s="9"/>
      <c r="F51" s="3">
        <f>CORREL($C$2:$C$21,$D$2:$D$21)</f>
        <v>-2.0650129699089175E-2</v>
      </c>
    </row>
    <row r="52" spans="4:6">
      <c r="D52" s="9" t="s">
        <v>68</v>
      </c>
      <c r="E52" s="9"/>
      <c r="F52" s="3">
        <f>CORREL($E$2:$E$21,$D$2:$D$21)</f>
        <v>0.76107628077492806</v>
      </c>
    </row>
    <row r="53" spans="4:6">
      <c r="D53" s="9"/>
    </row>
    <row r="55" spans="4:6">
      <c r="D55" s="3" t="s">
        <v>69</v>
      </c>
      <c r="F55" s="3">
        <f>CORREL($G$2:$G$21,$F$2:$F$21)</f>
        <v>0.58746074544293725</v>
      </c>
    </row>
    <row r="56" spans="4:6">
      <c r="D56" s="3" t="s">
        <v>70</v>
      </c>
      <c r="F56" s="3">
        <f>CORREL($G$2:$G$21,$E$2:$E$21)</f>
        <v>0.76107628077492784</v>
      </c>
    </row>
    <row r="57" spans="4:6">
      <c r="D57" s="3" t="s">
        <v>71</v>
      </c>
      <c r="F57" s="3">
        <f>CORREL($G$2:$G$21,$C$2:$C$21)</f>
        <v>-2.0650129699089231E-2</v>
      </c>
    </row>
    <row r="60" spans="4:6">
      <c r="D60" s="3" t="s">
        <v>72</v>
      </c>
      <c r="F60" s="3">
        <f>CORREL($C$2:$C$21,$E$2:$E$21)</f>
        <v>-8.2614705213107154E-2</v>
      </c>
    </row>
    <row r="61" spans="4:6">
      <c r="D61" s="3" t="s">
        <v>73</v>
      </c>
      <c r="F61" s="3">
        <f>CORREL($E$2:$E$21,$F$2:$F$21)</f>
        <v>0.54045701580215311</v>
      </c>
    </row>
    <row r="64" spans="4:6">
      <c r="D64" s="3" t="s">
        <v>74</v>
      </c>
      <c r="F64" s="3">
        <f>CORREL($C$2:$C$21,$F$2:$F$21)</f>
        <v>-0.7333925165156514</v>
      </c>
    </row>
  </sheetData>
  <mergeCells count="7">
    <mergeCell ref="D46:E46"/>
    <mergeCell ref="D29:F29"/>
    <mergeCell ref="E40:F40"/>
    <mergeCell ref="Q15:T15"/>
    <mergeCell ref="L3:M3"/>
    <mergeCell ref="Q3:S3"/>
    <mergeCell ref="I3:K3"/>
  </mergeCells>
  <conditionalFormatting sqref="E2:E2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{96096BD3-9000-4484-AB32-74CFE2EBFEEB}</x14:id>
        </ext>
      </extLst>
    </cfRule>
  </conditionalFormatting>
  <conditionalFormatting sqref="E11">
    <cfRule type="colorScale" priority="8">
      <colorScale>
        <cfvo type="num" val="200"/>
        <cfvo type="num" val="1000"/>
        <cfvo type="num" val="2000"/>
        <color rgb="FFFFC000"/>
        <color rgb="FF0070C0"/>
        <color theme="5"/>
      </colorScale>
    </cfRule>
  </conditionalFormatting>
  <conditionalFormatting sqref="F2:F21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49:F6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L17: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E31 D42" xr:uid="{1EA398EE-7892-4F43-9732-B29901828A21}">
      <formula1>$D$31:$D$38</formula1>
    </dataValidation>
  </dataValidations>
  <pageMargins left="0.7" right="0.7" top="0.75" bottom="0.75" header="0.3" footer="0.3"/>
  <pageSetup orientation="portrait" r:id="rId1"/>
  <picture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096BD3-9000-4484-AB32-74CFE2EBFE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iconSet" priority="4" id="{9E87B199-813A-41C2-AADB-FB8EA0F40F0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G2:G21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7"/>
  <sheetViews>
    <sheetView tabSelected="1" workbookViewId="0">
      <selection activeCell="W2" sqref="W2"/>
    </sheetView>
  </sheetViews>
  <sheetFormatPr defaultColWidth="9" defaultRowHeight="14.4"/>
  <sheetData>
    <row r="1" spans="1:15" ht="15.6">
      <c r="A1" s="1"/>
      <c r="B1" s="2"/>
    </row>
    <row r="2" spans="1:15" ht="21">
      <c r="G2" s="13" t="s">
        <v>102</v>
      </c>
      <c r="H2" s="14"/>
      <c r="I2" s="14"/>
      <c r="J2" s="14"/>
      <c r="K2" s="14"/>
      <c r="L2" s="14"/>
      <c r="M2" s="14"/>
      <c r="N2" s="14"/>
      <c r="O2" s="14"/>
    </row>
    <row r="7" spans="1:15" ht="15.6">
      <c r="F7" s="2"/>
    </row>
  </sheetData>
  <mergeCells count="1">
    <mergeCell ref="G2:O2"/>
  </mergeCells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Analysis</vt:lpstr>
      <vt:lpstr>ScooterSales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Sureshkumar Viknesh</cp:lastModifiedBy>
  <dcterms:created xsi:type="dcterms:W3CDTF">2023-12-05T10:44:00Z</dcterms:created>
  <dcterms:modified xsi:type="dcterms:W3CDTF">2023-12-06T06:32:16Z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A0E580CC9FB64A5BAF301E7DFE0B4B58_12</vt:lpwstr>
  </property>
  <property fmtid="{D5CDD505-2E9C-101B-9397-08002B2CF9AE}" pid="3" name="KSOProductBuildVer">
    <vt:lpwstr>1033-12.2.0.13306</vt:lpwstr>
  </property>
</Properties>
</file>