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"/>
    </mc:Choice>
  </mc:AlternateContent>
  <xr:revisionPtr revIDLastSave="0" documentId="13_ncr:1_{FAB4B749-CFA1-E942-9D01-EE19892CA15E}" xr6:coauthVersionLast="43" xr6:coauthVersionMax="43" xr10:uidLastSave="{00000000-0000-0000-0000-000000000000}"/>
  <bookViews>
    <workbookView xWindow="3320" yWindow="880" windowWidth="26340" windowHeight="14900" xr2:uid="{BF469469-80EF-BB4B-A8E2-E66513E50EB9}"/>
  </bookViews>
  <sheets>
    <sheet name="4.1" sheetId="3" r:id="rId1"/>
    <sheet name="4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4" l="1"/>
  <c r="C31" i="4"/>
  <c r="C30" i="4"/>
  <c r="D30" i="4"/>
  <c r="E30" i="4" s="1"/>
  <c r="C29" i="4"/>
  <c r="C28" i="4"/>
  <c r="I28" i="4" s="1"/>
  <c r="C27" i="4"/>
  <c r="C26" i="4"/>
  <c r="C25" i="4"/>
  <c r="C24" i="4"/>
  <c r="C23" i="4"/>
  <c r="C22" i="4"/>
  <c r="I22" i="4" s="1"/>
  <c r="C21" i="4"/>
  <c r="I21" i="4" s="1"/>
  <c r="C20" i="4"/>
  <c r="F21" i="4"/>
  <c r="F22" i="4"/>
  <c r="F23" i="4"/>
  <c r="F24" i="4"/>
  <c r="F25" i="4"/>
  <c r="F26" i="4"/>
  <c r="F27" i="4"/>
  <c r="F28" i="4"/>
  <c r="F29" i="4"/>
  <c r="F30" i="4"/>
  <c r="F31" i="4"/>
  <c r="F32" i="4"/>
  <c r="F20" i="4"/>
  <c r="E5" i="4"/>
  <c r="I32" i="4"/>
  <c r="D32" i="4"/>
  <c r="E32" i="4" s="1"/>
  <c r="I31" i="4"/>
  <c r="D31" i="4"/>
  <c r="E31" i="4" s="1"/>
  <c r="I29" i="4"/>
  <c r="D28" i="4"/>
  <c r="E28" i="4" s="1"/>
  <c r="I27" i="4"/>
  <c r="D27" i="4"/>
  <c r="E27" i="4" s="1"/>
  <c r="D26" i="4"/>
  <c r="E26" i="4" s="1"/>
  <c r="I25" i="4"/>
  <c r="I24" i="4"/>
  <c r="D24" i="4"/>
  <c r="E24" i="4" s="1"/>
  <c r="I23" i="4"/>
  <c r="D23" i="4"/>
  <c r="E23" i="4" s="1"/>
  <c r="I20" i="4"/>
  <c r="D20" i="4"/>
  <c r="E20" i="4" s="1"/>
  <c r="G20" i="4" s="1"/>
  <c r="C14" i="4"/>
  <c r="I15" i="4"/>
  <c r="F15" i="4"/>
  <c r="D15" i="4"/>
  <c r="I13" i="4"/>
  <c r="I14" i="4"/>
  <c r="H13" i="4"/>
  <c r="G13" i="4"/>
  <c r="E13" i="4"/>
  <c r="D13" i="4"/>
  <c r="D14" i="4"/>
  <c r="E14" i="4" s="1"/>
  <c r="G14" i="4" s="1"/>
  <c r="H14" i="4" s="1"/>
  <c r="F14" i="4"/>
  <c r="C13" i="4"/>
  <c r="F13" i="4"/>
  <c r="C12" i="4"/>
  <c r="C11" i="4"/>
  <c r="I11" i="4" s="1"/>
  <c r="C10" i="4"/>
  <c r="C9" i="4"/>
  <c r="I9" i="4" s="1"/>
  <c r="C8" i="4"/>
  <c r="C7" i="4"/>
  <c r="I7" i="4" s="1"/>
  <c r="C6" i="4"/>
  <c r="C5" i="4"/>
  <c r="C4" i="4"/>
  <c r="C3" i="4"/>
  <c r="D4" i="4"/>
  <c r="E4" i="4" s="1"/>
  <c r="D5" i="4"/>
  <c r="D6" i="4"/>
  <c r="E6" i="4" s="1"/>
  <c r="D7" i="4"/>
  <c r="E7" i="4" s="1"/>
  <c r="D8" i="4"/>
  <c r="E8" i="4" s="1"/>
  <c r="G8" i="4" s="1"/>
  <c r="H8" i="4" s="1"/>
  <c r="D9" i="4"/>
  <c r="E9" i="4" s="1"/>
  <c r="D10" i="4"/>
  <c r="E10" i="4" s="1"/>
  <c r="D11" i="4"/>
  <c r="E11" i="4" s="1"/>
  <c r="D12" i="4"/>
  <c r="E12" i="4" s="1"/>
  <c r="D3" i="4"/>
  <c r="E3" i="4" s="1"/>
  <c r="I12" i="4"/>
  <c r="F12" i="4"/>
  <c r="F11" i="4"/>
  <c r="I10" i="4"/>
  <c r="F10" i="4"/>
  <c r="F9" i="4"/>
  <c r="I8" i="4"/>
  <c r="F8" i="4"/>
  <c r="F7" i="4"/>
  <c r="I6" i="4"/>
  <c r="F6" i="4"/>
  <c r="I5" i="4"/>
  <c r="F5" i="4"/>
  <c r="I4" i="4"/>
  <c r="F4" i="4"/>
  <c r="I3" i="4"/>
  <c r="F3" i="4"/>
  <c r="AN5" i="3"/>
  <c r="AN6" i="3"/>
  <c r="AN7" i="3"/>
  <c r="AN8" i="3"/>
  <c r="AN9" i="3"/>
  <c r="AN10" i="3"/>
  <c r="AN11" i="3"/>
  <c r="AN12" i="3"/>
  <c r="AN13" i="3"/>
  <c r="AN14" i="3"/>
  <c r="AN15" i="3"/>
  <c r="AN4" i="3"/>
  <c r="AO4" i="3" s="1"/>
  <c r="AM4" i="3"/>
  <c r="AK5" i="3"/>
  <c r="AK6" i="3"/>
  <c r="AK7" i="3"/>
  <c r="AK8" i="3"/>
  <c r="AK9" i="3"/>
  <c r="AK10" i="3"/>
  <c r="AK11" i="3"/>
  <c r="AK12" i="3"/>
  <c r="AK13" i="3"/>
  <c r="AK14" i="3"/>
  <c r="AK15" i="3"/>
  <c r="AK4" i="3"/>
  <c r="AM12" i="3"/>
  <c r="AM13" i="3"/>
  <c r="AM14" i="3"/>
  <c r="AM15" i="3"/>
  <c r="AO15" i="3" s="1"/>
  <c r="AM5" i="3"/>
  <c r="AM6" i="3"/>
  <c r="AO6" i="3" s="1"/>
  <c r="AM7" i="3"/>
  <c r="AM8" i="3"/>
  <c r="AM9" i="3"/>
  <c r="AM10" i="3"/>
  <c r="AM11" i="3"/>
  <c r="AO5" i="3"/>
  <c r="AO7" i="3"/>
  <c r="AO9" i="3"/>
  <c r="AO10" i="3"/>
  <c r="AO11" i="3"/>
  <c r="AO13" i="3"/>
  <c r="AO14" i="3"/>
  <c r="AL5" i="3"/>
  <c r="AL6" i="3"/>
  <c r="AL7" i="3"/>
  <c r="AL8" i="3"/>
  <c r="AL9" i="3"/>
  <c r="AL10" i="3"/>
  <c r="AL11" i="3"/>
  <c r="AL12" i="3"/>
  <c r="AL13" i="3"/>
  <c r="AL14" i="3"/>
  <c r="AL15" i="3"/>
  <c r="AL4" i="3"/>
  <c r="AF11" i="3"/>
  <c r="AG5" i="3"/>
  <c r="AG6" i="3"/>
  <c r="AG7" i="3"/>
  <c r="AJ7" i="3" s="1"/>
  <c r="AG8" i="3"/>
  <c r="AJ8" i="3" s="1"/>
  <c r="AG9" i="3"/>
  <c r="AG10" i="3"/>
  <c r="AG12" i="3"/>
  <c r="AJ12" i="3" s="1"/>
  <c r="AG13" i="3"/>
  <c r="AG14" i="3"/>
  <c r="AG15" i="3"/>
  <c r="AJ15" i="3" s="1"/>
  <c r="AG4" i="3"/>
  <c r="AF5" i="3"/>
  <c r="AF6" i="3"/>
  <c r="AF7" i="3"/>
  <c r="AF8" i="3"/>
  <c r="AF9" i="3"/>
  <c r="AF12" i="3"/>
  <c r="AF13" i="3"/>
  <c r="AF14" i="3"/>
  <c r="AF15" i="3"/>
  <c r="AF4" i="3"/>
  <c r="AE15" i="3"/>
  <c r="AE14" i="3"/>
  <c r="AE13" i="3"/>
  <c r="AE12" i="3"/>
  <c r="AE11" i="3"/>
  <c r="AE10" i="3"/>
  <c r="AE9" i="3"/>
  <c r="AE8" i="3"/>
  <c r="AE7" i="3"/>
  <c r="AE6" i="3"/>
  <c r="AE5" i="3"/>
  <c r="AE4" i="3"/>
  <c r="AB15" i="3"/>
  <c r="AB14" i="3"/>
  <c r="AB13" i="3"/>
  <c r="AB12" i="3"/>
  <c r="AB11" i="3"/>
  <c r="AB10" i="3"/>
  <c r="AB9" i="3"/>
  <c r="AB8" i="3"/>
  <c r="AB7" i="3"/>
  <c r="AB6" i="3"/>
  <c r="AB5" i="3"/>
  <c r="AB4" i="3"/>
  <c r="Y15" i="3"/>
  <c r="Y14" i="3"/>
  <c r="Y13" i="3"/>
  <c r="Y12" i="3"/>
  <c r="Y11" i="3"/>
  <c r="Y10" i="3"/>
  <c r="Y9" i="3"/>
  <c r="Y8" i="3"/>
  <c r="Y7" i="3"/>
  <c r="Y6" i="3"/>
  <c r="Y5" i="3"/>
  <c r="Y4" i="3"/>
  <c r="V15" i="3"/>
  <c r="V14" i="3"/>
  <c r="V13" i="3"/>
  <c r="V12" i="3"/>
  <c r="V11" i="3"/>
  <c r="V10" i="3"/>
  <c r="V9" i="3"/>
  <c r="V8" i="3"/>
  <c r="V7" i="3"/>
  <c r="V6" i="3"/>
  <c r="V5" i="3"/>
  <c r="V4" i="3"/>
  <c r="S15" i="3"/>
  <c r="S14" i="3"/>
  <c r="S13" i="3"/>
  <c r="S12" i="3"/>
  <c r="S11" i="3"/>
  <c r="S10" i="3"/>
  <c r="S9" i="3"/>
  <c r="S8" i="3"/>
  <c r="S7" i="3"/>
  <c r="S6" i="3"/>
  <c r="S5" i="3"/>
  <c r="S4" i="3"/>
  <c r="P15" i="3"/>
  <c r="P14" i="3"/>
  <c r="P13" i="3"/>
  <c r="P12" i="3"/>
  <c r="P11" i="3"/>
  <c r="P10" i="3"/>
  <c r="P9" i="3"/>
  <c r="P8" i="3"/>
  <c r="P7" i="3"/>
  <c r="P6" i="3"/>
  <c r="P5" i="3"/>
  <c r="P4" i="3"/>
  <c r="M15" i="3"/>
  <c r="M14" i="3"/>
  <c r="M13" i="3"/>
  <c r="M12" i="3"/>
  <c r="M11" i="3"/>
  <c r="M10" i="3"/>
  <c r="M9" i="3"/>
  <c r="M8" i="3"/>
  <c r="M7" i="3"/>
  <c r="M6" i="3"/>
  <c r="M5" i="3"/>
  <c r="M4" i="3"/>
  <c r="J15" i="3"/>
  <c r="J14" i="3"/>
  <c r="J13" i="3"/>
  <c r="J12" i="3"/>
  <c r="J11" i="3"/>
  <c r="J10" i="3"/>
  <c r="J9" i="3"/>
  <c r="J8" i="3"/>
  <c r="J7" i="3"/>
  <c r="J6" i="3"/>
  <c r="J5" i="3"/>
  <c r="J4" i="3"/>
  <c r="G15" i="3"/>
  <c r="G14" i="3"/>
  <c r="G13" i="3"/>
  <c r="G12" i="3"/>
  <c r="G11" i="3"/>
  <c r="G10" i="3"/>
  <c r="G9" i="3"/>
  <c r="G8" i="3"/>
  <c r="G7" i="3"/>
  <c r="G6" i="3"/>
  <c r="G5" i="3"/>
  <c r="G4" i="3"/>
  <c r="D5" i="3"/>
  <c r="D6" i="3"/>
  <c r="D7" i="3"/>
  <c r="D8" i="3"/>
  <c r="D9" i="3"/>
  <c r="D10" i="3"/>
  <c r="D11" i="3"/>
  <c r="D12" i="3"/>
  <c r="D13" i="3"/>
  <c r="D14" i="3"/>
  <c r="D15" i="3"/>
  <c r="AJ5" i="3"/>
  <c r="AJ6" i="3"/>
  <c r="AJ9" i="3"/>
  <c r="AJ10" i="3"/>
  <c r="AJ13" i="3"/>
  <c r="AJ14" i="3"/>
  <c r="AJ4" i="3"/>
  <c r="AI14" i="3"/>
  <c r="AI15" i="3"/>
  <c r="AI5" i="3"/>
  <c r="AI6" i="3"/>
  <c r="AI7" i="3"/>
  <c r="AI8" i="3"/>
  <c r="AI9" i="3"/>
  <c r="AI10" i="3"/>
  <c r="AI11" i="3"/>
  <c r="AI12" i="3"/>
  <c r="AI13" i="3"/>
  <c r="AI4" i="3"/>
  <c r="D4" i="3"/>
  <c r="G15" i="4" l="1"/>
  <c r="H15" i="4" s="1"/>
  <c r="G30" i="4"/>
  <c r="H30" i="4" s="1"/>
  <c r="G26" i="4"/>
  <c r="H26" i="4" s="1"/>
  <c r="G24" i="4"/>
  <c r="H24" i="4" s="1"/>
  <c r="G27" i="4"/>
  <c r="H27" i="4" s="1"/>
  <c r="H20" i="4"/>
  <c r="G23" i="4"/>
  <c r="H23" i="4" s="1"/>
  <c r="G32" i="4"/>
  <c r="H32" i="4" s="1"/>
  <c r="G28" i="4"/>
  <c r="H28" i="4" s="1"/>
  <c r="G31" i="4"/>
  <c r="H31" i="4" s="1"/>
  <c r="D22" i="4"/>
  <c r="E22" i="4" s="1"/>
  <c r="G22" i="4" s="1"/>
  <c r="H22" i="4" s="1"/>
  <c r="D21" i="4"/>
  <c r="E21" i="4" s="1"/>
  <c r="G21" i="4" s="1"/>
  <c r="H21" i="4" s="1"/>
  <c r="D25" i="4"/>
  <c r="E25" i="4" s="1"/>
  <c r="G25" i="4" s="1"/>
  <c r="H25" i="4" s="1"/>
  <c r="I26" i="4"/>
  <c r="D29" i="4"/>
  <c r="E29" i="4" s="1"/>
  <c r="G29" i="4" s="1"/>
  <c r="H29" i="4" s="1"/>
  <c r="I30" i="4"/>
  <c r="G4" i="4"/>
  <c r="H4" i="4" s="1"/>
  <c r="G12" i="4"/>
  <c r="H12" i="4" s="1"/>
  <c r="G3" i="4"/>
  <c r="H3" i="4" s="1"/>
  <c r="G7" i="4"/>
  <c r="H7" i="4" s="1"/>
  <c r="G11" i="4"/>
  <c r="H11" i="4" s="1"/>
  <c r="G9" i="4"/>
  <c r="H9" i="4" s="1"/>
  <c r="G5" i="4"/>
  <c r="H5" i="4" s="1"/>
  <c r="G6" i="4"/>
  <c r="H6" i="4" s="1"/>
  <c r="G10" i="4"/>
  <c r="H10" i="4" s="1"/>
  <c r="AO12" i="3"/>
  <c r="AO8" i="3"/>
  <c r="AG11" i="3"/>
  <c r="AJ11" i="3" s="1"/>
  <c r="AF10" i="3"/>
</calcChain>
</file>

<file path=xl/sharedStrings.xml><?xml version="1.0" encoding="utf-8"?>
<sst xmlns="http://schemas.openxmlformats.org/spreadsheetml/2006/main" count="74" uniqueCount="37">
  <si>
    <t>電流I[mA]</t>
    <rPh sb="0" eb="2">
      <t>デンリュウ</t>
    </rPh>
    <phoneticPr fontId="1"/>
  </si>
  <si>
    <t>１回目</t>
    <phoneticPr fontId="1"/>
  </si>
  <si>
    <t>２回目</t>
    <rPh sb="1" eb="2">
      <t>ニカイ</t>
    </rPh>
    <rPh sb="2" eb="3">
      <t xml:space="preserve">メ </t>
    </rPh>
    <phoneticPr fontId="1"/>
  </si>
  <si>
    <t>３回目</t>
    <rPh sb="1" eb="3">
      <t>サンカ</t>
    </rPh>
    <phoneticPr fontId="1"/>
  </si>
  <si>
    <t>４回目</t>
    <phoneticPr fontId="1"/>
  </si>
  <si>
    <t>５回目</t>
    <phoneticPr fontId="1"/>
  </si>
  <si>
    <t>６回目</t>
    <phoneticPr fontId="1"/>
  </si>
  <si>
    <t>７回目</t>
    <phoneticPr fontId="1"/>
  </si>
  <si>
    <t>８回目</t>
    <phoneticPr fontId="1"/>
  </si>
  <si>
    <t>９回目</t>
    <phoneticPr fontId="1"/>
  </si>
  <si>
    <t>１０回目</t>
    <phoneticPr fontId="1"/>
  </si>
  <si>
    <t>A側</t>
    <rPh sb="1" eb="2">
      <t>ガワ</t>
    </rPh>
    <phoneticPr fontId="1"/>
  </si>
  <si>
    <t>B側</t>
    <rPh sb="1" eb="2">
      <t>ガワ</t>
    </rPh>
    <phoneticPr fontId="1"/>
  </si>
  <si>
    <t>Hz</t>
    <phoneticPr fontId="1"/>
  </si>
  <si>
    <t>電流I[A]</t>
    <rPh sb="0" eb="2">
      <t>デンリュウ</t>
    </rPh>
    <phoneticPr fontId="1"/>
  </si>
  <si>
    <t>磁束Φ[Wb]</t>
    <rPh sb="0" eb="2">
      <t>ジソク</t>
    </rPh>
    <phoneticPr fontId="1"/>
  </si>
  <si>
    <t>磁界H[A/m]</t>
    <rPh sb="0" eb="2">
      <t>ジカイ</t>
    </rPh>
    <phoneticPr fontId="1"/>
  </si>
  <si>
    <t>磁束密度B[T]</t>
    <rPh sb="0" eb="4">
      <t>ジソク</t>
    </rPh>
    <phoneticPr fontId="1"/>
  </si>
  <si>
    <r>
      <t>透磁率μ</t>
    </r>
    <r>
      <rPr>
        <sz val="9"/>
        <color theme="1"/>
        <rFont val="游ゴシック (本文)"/>
        <charset val="128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</si>
  <si>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9"/>
        <color theme="1"/>
        <rFont val="游ゴシック (本文)"/>
        <charset val="128"/>
      </rPr>
      <t>s</t>
    </r>
    <rPh sb="0" eb="3">
      <t>ヒトウジリテゥ</t>
    </rPh>
    <phoneticPr fontId="1"/>
  </si>
  <si>
    <t>磁束</t>
    <rPh sb="0" eb="2">
      <t>ジソク</t>
    </rPh>
    <phoneticPr fontId="1"/>
  </si>
  <si>
    <t>損失電力Wo[W]</t>
    <rPh sb="0" eb="4">
      <t>ソンシテゥ</t>
    </rPh>
    <phoneticPr fontId="1"/>
  </si>
  <si>
    <t>磁化電流Im[A]</t>
    <rPh sb="0" eb="4">
      <t>ジカデ</t>
    </rPh>
    <phoneticPr fontId="1"/>
  </si>
  <si>
    <t>磁界最大値Hm[A/m]</t>
    <rPh sb="0" eb="2">
      <t xml:space="preserve">ジカイ </t>
    </rPh>
    <rPh sb="2" eb="5">
      <t>ジカイ</t>
    </rPh>
    <phoneticPr fontId="1"/>
  </si>
  <si>
    <t>最大磁束密度Bm[T]</t>
    <rPh sb="0" eb="6">
      <t>サイダイ</t>
    </rPh>
    <phoneticPr fontId="1"/>
  </si>
  <si>
    <r>
      <t>透磁率μ</t>
    </r>
    <r>
      <rPr>
        <sz val="11"/>
        <color theme="1"/>
        <rFont val="游ゴシック (本文)"/>
        <charset val="128"/>
      </rPr>
      <t>e</t>
    </r>
    <r>
      <rPr>
        <sz val="12"/>
        <color theme="1"/>
        <rFont val="游ゴシック"/>
        <family val="2"/>
        <charset val="128"/>
        <scheme val="minor"/>
      </rPr>
      <t>[H/m]</t>
    </r>
    <rPh sb="0" eb="3">
      <t>トウジリテゥ</t>
    </rPh>
    <phoneticPr fontId="1"/>
  </si>
  <si>
    <r>
      <t>比透磁率μ</t>
    </r>
    <r>
      <rPr>
        <sz val="10"/>
        <color theme="1"/>
        <rFont val="游ゴシック (本文)"/>
        <charset val="128"/>
      </rPr>
      <t>s</t>
    </r>
    <rPh sb="0" eb="4">
      <t>ヒトウジリテゥ</t>
    </rPh>
    <phoneticPr fontId="1"/>
  </si>
  <si>
    <t>鉄損Wi[W/kg]</t>
    <rPh sb="0" eb="2">
      <t>テテゥ</t>
    </rPh>
    <phoneticPr fontId="1"/>
  </si>
  <si>
    <t>誘導起電力Eo[V]</t>
    <rPh sb="0" eb="2">
      <t>ユウドウキレンリョク</t>
    </rPh>
    <rPh sb="2" eb="5">
      <t>キデンリョク</t>
    </rPh>
    <phoneticPr fontId="1"/>
  </si>
  <si>
    <t>平均/2</t>
    <rPh sb="0" eb="2">
      <t>ヘイキ</t>
    </rPh>
    <phoneticPr fontId="1"/>
  </si>
  <si>
    <t>平均</t>
    <rPh sb="0" eb="2">
      <t xml:space="preserve">ヘイキン </t>
    </rPh>
    <phoneticPr fontId="1"/>
  </si>
  <si>
    <t>和</t>
  </si>
  <si>
    <t>和</t>
    <rPh sb="0" eb="1">
      <t xml:space="preserve">ワ </t>
    </rPh>
    <phoneticPr fontId="1"/>
  </si>
  <si>
    <t>平均[mWb]</t>
    <rPh sb="0" eb="2">
      <t xml:space="preserve">ヘイキン </t>
    </rPh>
    <phoneticPr fontId="1"/>
  </si>
  <si>
    <t>f=</t>
    <phoneticPr fontId="1"/>
  </si>
  <si>
    <t>励磁電流I0[mA]</t>
    <rPh sb="0" eb="4">
      <t>レイジデンリュウ</t>
    </rPh>
    <phoneticPr fontId="1"/>
  </si>
  <si>
    <t>　　　　　　　　　　　　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</si>
</sst>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"/>
    <numFmt numFmtId="178" formatCode="0.00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theme="1"/>
      <name val="游ゴシック (本文)"/>
      <charset val="128"/>
    </font>
    <font>
      <sz val="9"/>
      <color theme="1"/>
      <name val="游ゴシック (本文)"/>
      <charset val="128"/>
    </font>
    <font>
      <sz val="11"/>
      <color theme="1"/>
      <name val="游ゴシック (本文)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'4.1'!$AM$3</c:f>
              <c:strCache>
                <c:ptCount val="1"/>
                <c:pt idx="0">
                  <c:v>磁束密度B[T]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'4.1'!$AM$4:$AM$11</c:f>
              <c:numCache>
                <c:formatCode>0.000</c:formatCode>
                <c:ptCount val="8"/>
                <c:pt idx="0">
                  <c:v>0.53049999999999997</c:v>
                </c:pt>
                <c:pt idx="1">
                  <c:v>0.67876666666666674</c:v>
                </c:pt>
                <c:pt idx="2">
                  <c:v>0.70136666666666669</c:v>
                </c:pt>
                <c:pt idx="3">
                  <c:v>0.70003333333333329</c:v>
                </c:pt>
                <c:pt idx="4">
                  <c:v>0.94656666666666667</c:v>
                </c:pt>
                <c:pt idx="5">
                  <c:v>1.1045666666666665</c:v>
                </c:pt>
                <c:pt idx="6">
                  <c:v>1.1108999999999998</c:v>
                </c:pt>
                <c:pt idx="7">
                  <c:v>1.2494444444444444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83183"/>
        <c:axId val="530874927"/>
      </c:scatterChart>
      <c:scatterChart>
        <c:scatterStyle val="lineMarker"/>
        <c:varyColors val="0"/>
        <c:ser>
          <c:idx val="1"/>
          <c:order val="1"/>
          <c:tx>
            <c:strRef>
              <c:f>'4.1'!$AO$3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'4.1'!$AL$4:$AL$11</c:f>
              <c:numCache>
                <c:formatCode>0.00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xVal>
          <c:yVal>
            <c:numRef>
              <c:f>'4.1'!$AO$4:$AO$11</c:f>
              <c:numCache>
                <c:formatCode>0.00</c:formatCode>
                <c:ptCount val="8"/>
                <c:pt idx="0">
                  <c:v>16886.339462050095</c:v>
                </c:pt>
                <c:pt idx="1">
                  <c:v>10802.907020600884</c:v>
                </c:pt>
                <c:pt idx="2">
                  <c:v>7441.7314613257104</c:v>
                </c:pt>
                <c:pt idx="3">
                  <c:v>5570.688266454823</c:v>
                </c:pt>
                <c:pt idx="4">
                  <c:v>5021.6921322006128</c:v>
                </c:pt>
                <c:pt idx="5">
                  <c:v>4394.9311243634456</c:v>
                </c:pt>
                <c:pt idx="6">
                  <c:v>3536.1045256157299</c:v>
                </c:pt>
                <c:pt idx="7">
                  <c:v>3314.2543242006723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CAC-7B45-8D28-53334C4B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72719"/>
        <c:axId val="506621615"/>
      </c:scatterChart>
      <c:valAx>
        <c:axId val="5308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磁界</a:t>
                </a:r>
                <a:r>
                  <a:rPr lang="en-US" altLang="ja-JP"/>
                  <a:t>H[A/m]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74927"/>
        <c:crosses val="autoZero"/>
        <c:crossBetween val="midCat"/>
      </c:valAx>
      <c:valAx>
        <c:axId val="5308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/>
                  <a:t> </a:t>
                </a:r>
                <a:r>
                  <a:rPr lang="ja-JP" altLang="en-US"/>
                  <a:t>磁束密度</a:t>
                </a:r>
                <a:r>
                  <a:rPr lang="en-US" altLang="ja-JP"/>
                  <a:t>B[T]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83183"/>
        <c:crosses val="autoZero"/>
        <c:crossBetween val="midCat"/>
      </c:valAx>
      <c:valAx>
        <c:axId val="50662161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672719"/>
        <c:crosses val="max"/>
        <c:crossBetween val="midCat"/>
      </c:valAx>
      <c:valAx>
        <c:axId val="51067271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0662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'4.2'!$F$2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'4.2'!$E$3:$E$15</c:f>
              <c:numCache>
                <c:formatCode>General</c:formatCode>
                <c:ptCount val="13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  <c:pt idx="12">
                  <c:v>3.3748278192994315E-2</c:v>
                </c:pt>
              </c:numCache>
            </c:numRef>
          </c:xVal>
          <c:yVal>
            <c:numRef>
              <c:f>'4.2'!$F$3:$F$15</c:f>
              <c:numCache>
                <c:formatCode>General</c:formatCode>
                <c:ptCount val="13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  <c:pt idx="12">
                  <c:v>5.3931482502911062E-5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'4.2'!$H$2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'4.2'!$E$3:$E$14</c:f>
              <c:numCache>
                <c:formatCode>General</c:formatCode>
                <c:ptCount val="12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</c:numCache>
            </c:numRef>
          </c:xVal>
          <c:yVal>
            <c:numRef>
              <c:f>'4.2'!$H$3:$H$14</c:f>
              <c:numCache>
                <c:formatCode>General</c:formatCode>
                <c:ptCount val="12"/>
                <c:pt idx="0">
                  <c:v>288.51490258933615</c:v>
                </c:pt>
                <c:pt idx="1">
                  <c:v>315.07032507286505</c:v>
                </c:pt>
                <c:pt idx="2">
                  <c:v>350.87015015601554</c:v>
                </c:pt>
                <c:pt idx="3">
                  <c:v>402.58992242150697</c:v>
                </c:pt>
                <c:pt idx="4">
                  <c:v>467.31125033847513</c:v>
                </c:pt>
                <c:pt idx="5">
                  <c:v>555.55019367242721</c:v>
                </c:pt>
                <c:pt idx="6">
                  <c:v>689.44827335735658</c:v>
                </c:pt>
                <c:pt idx="7">
                  <c:v>889.95141573142268</c:v>
                </c:pt>
                <c:pt idx="8">
                  <c:v>1202.0023301580588</c:v>
                </c:pt>
                <c:pt idx="9">
                  <c:v>1269.9068943149339</c:v>
                </c:pt>
                <c:pt idx="10">
                  <c:v>1242.6093000918509</c:v>
                </c:pt>
                <c:pt idx="11">
                  <c:v>781.33739718160746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C1-CD4D-99EA-9B4BD87B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'4.2'!$F$2</c:f>
              <c:strCache>
                <c:ptCount val="1"/>
                <c:pt idx="0">
                  <c:v>最大磁束密度Bm[T]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'4.2'!$E$3:$E$15</c:f>
              <c:numCache>
                <c:formatCode>General</c:formatCode>
                <c:ptCount val="13"/>
                <c:pt idx="0">
                  <c:v>327.9316255350389</c:v>
                </c:pt>
                <c:pt idx="1">
                  <c:v>296.57724471761509</c:v>
                </c:pt>
                <c:pt idx="2">
                  <c:v>263.53708187754199</c:v>
                </c:pt>
                <c:pt idx="3">
                  <c:v>226.28918320858921</c:v>
                </c:pt>
                <c:pt idx="4">
                  <c:v>191.60915811072269</c:v>
                </c:pt>
                <c:pt idx="5">
                  <c:v>157.6641128487955</c:v>
                </c:pt>
                <c:pt idx="6">
                  <c:v>122.23395732937719</c:v>
                </c:pt>
                <c:pt idx="7">
                  <c:v>87.680598747352406</c:v>
                </c:pt>
                <c:pt idx="8">
                  <c:v>53.865631610521781</c:v>
                </c:pt>
                <c:pt idx="9">
                  <c:v>41.276759905735645</c:v>
                </c:pt>
                <c:pt idx="10">
                  <c:v>27.897330135935267</c:v>
                </c:pt>
                <c:pt idx="11">
                  <c:v>16.528338239018865</c:v>
                </c:pt>
                <c:pt idx="12">
                  <c:v>3.3748278192994315E-2</c:v>
                </c:pt>
              </c:numCache>
            </c:numRef>
          </c:xVal>
          <c:yVal>
            <c:numRef>
              <c:f>'4.2'!$F$3:$F$15</c:f>
              <c:numCache>
                <c:formatCode>General</c:formatCode>
                <c:ptCount val="13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  <c:pt idx="12">
                  <c:v>5.3931482502911062E-5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2-4B46-84DE-59368191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scatterChart>
        <c:scatterStyle val="lineMarker"/>
        <c:varyColors val="0"/>
        <c:ser>
          <c:idx val="1"/>
          <c:order val="1"/>
          <c:tx>
            <c:strRef>
              <c:f>'4.2'!$H$19</c:f>
              <c:strCache>
                <c:ptCount val="1"/>
                <c:pt idx="0">
                  <c:v>比透磁率μs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'4.2'!$E$20:$E$31</c:f>
              <c:numCache>
                <c:formatCode>General</c:formatCode>
                <c:ptCount val="12"/>
                <c:pt idx="0">
                  <c:v>328.44424607959718</c:v>
                </c:pt>
                <c:pt idx="1">
                  <c:v>294.47945997262099</c:v>
                </c:pt>
                <c:pt idx="2">
                  <c:v>260.42363521982986</c:v>
                </c:pt>
                <c:pt idx="3">
                  <c:v>225.26165398989787</c:v>
                </c:pt>
                <c:pt idx="4">
                  <c:v>190.2933520940457</c:v>
                </c:pt>
                <c:pt idx="5">
                  <c:v>155.161688967343</c:v>
                </c:pt>
                <c:pt idx="6">
                  <c:v>120.43344903976575</c:v>
                </c:pt>
                <c:pt idx="7">
                  <c:v>85.269598872143391</c:v>
                </c:pt>
                <c:pt idx="8">
                  <c:v>53.337898278950142</c:v>
                </c:pt>
                <c:pt idx="9">
                  <c:v>38.534162291451103</c:v>
                </c:pt>
                <c:pt idx="10">
                  <c:v>26.125825811461159</c:v>
                </c:pt>
                <c:pt idx="11">
                  <c:v>16.602431294766497</c:v>
                </c:pt>
              </c:numCache>
            </c:numRef>
          </c:xVal>
          <c:yVal>
            <c:numRef>
              <c:f>'4.2'!$H$20:$H$31</c:f>
              <c:numCache>
                <c:formatCode>General</c:formatCode>
                <c:ptCount val="12"/>
                <c:pt idx="0">
                  <c:v>287.07468919064775</c:v>
                </c:pt>
                <c:pt idx="1">
                  <c:v>316.87315799917025</c:v>
                </c:pt>
                <c:pt idx="2">
                  <c:v>354.56552534921906</c:v>
                </c:pt>
                <c:pt idx="3">
                  <c:v>404.13766334755428</c:v>
                </c:pt>
                <c:pt idx="4">
                  <c:v>469.8590981457786</c:v>
                </c:pt>
                <c:pt idx="5">
                  <c:v>561.57641371287696</c:v>
                </c:pt>
                <c:pt idx="6">
                  <c:v>696.5160769724489</c:v>
                </c:pt>
                <c:pt idx="7">
                  <c:v>903.67587738490147</c:v>
                </c:pt>
                <c:pt idx="8">
                  <c:v>1177.0771752714068</c:v>
                </c:pt>
                <c:pt idx="9">
                  <c:v>1301.0590710445401</c:v>
                </c:pt>
                <c:pt idx="10">
                  <c:v>1245.1040030798119</c:v>
                </c:pt>
                <c:pt idx="11">
                  <c:v>730.4587630254066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2-4B46-84DE-59368191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887"/>
        <c:axId val="497436303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valAx>
        <c:axId val="497436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53887"/>
        <c:crosses val="max"/>
        <c:crossBetween val="midCat"/>
      </c:valAx>
      <c:valAx>
        <c:axId val="4973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43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'4.2'!$F$3:$F$14</c:f>
              <c:numCache>
                <c:formatCode>General</c:formatCode>
                <c:ptCount val="12"/>
                <c:pt idx="0">
                  <c:v>0.1188944046086903</c:v>
                </c:pt>
                <c:pt idx="1">
                  <c:v>0.11742354599497454</c:v>
                </c:pt>
                <c:pt idx="2">
                  <c:v>0.11619783048354475</c:v>
                </c:pt>
                <c:pt idx="3">
                  <c:v>0.11448182876754304</c:v>
                </c:pt>
                <c:pt idx="4">
                  <c:v>0.11252068394925535</c:v>
                </c:pt>
                <c:pt idx="5">
                  <c:v>0.11006925292639576</c:v>
                </c:pt>
                <c:pt idx="6">
                  <c:v>0.10590182018753447</c:v>
                </c:pt>
                <c:pt idx="7">
                  <c:v>9.8057240914383753E-2</c:v>
                </c:pt>
                <c:pt idx="8">
                  <c:v>8.1362995648709913E-2</c:v>
                </c:pt>
                <c:pt idx="9">
                  <c:v>6.5869951584237293E-2</c:v>
                </c:pt>
                <c:pt idx="10">
                  <c:v>4.3561929276214981E-2</c:v>
                </c:pt>
                <c:pt idx="11">
                  <c:v>1.6228473371330512E-2</c:v>
                </c:pt>
              </c:numCache>
            </c:numRef>
          </c:xVal>
          <c:yVal>
            <c:numRef>
              <c:f>'4.2'!$I$3:$I$14</c:f>
              <c:numCache>
                <c:formatCode>General</c:formatCode>
                <c:ptCount val="12"/>
                <c:pt idx="0">
                  <c:v>1.1029630102040815</c:v>
                </c:pt>
                <c:pt idx="1">
                  <c:v>1.0644028253096112</c:v>
                </c:pt>
                <c:pt idx="2">
                  <c:v>1.0249534815977674</c:v>
                </c:pt>
                <c:pt idx="3">
                  <c:v>0.98709397828362111</c:v>
                </c:pt>
                <c:pt idx="4">
                  <c:v>0.94995086298622</c:v>
                </c:pt>
                <c:pt idx="5">
                  <c:v>0.87065951465201474</c:v>
                </c:pt>
                <c:pt idx="6">
                  <c:v>0.79651376940519791</c:v>
                </c:pt>
                <c:pt idx="7">
                  <c:v>0.64531658817373105</c:v>
                </c:pt>
                <c:pt idx="8">
                  <c:v>0.42716493214285717</c:v>
                </c:pt>
                <c:pt idx="9">
                  <c:v>0.24225031410692482</c:v>
                </c:pt>
                <c:pt idx="10">
                  <c:v>0.10326785396389326</c:v>
                </c:pt>
                <c:pt idx="11">
                  <c:v>4.8974086691086702E-3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5-5B4A-8E38-47A702490A2C}"/>
            </c:ext>
          </c:extLst>
        </c:ser>
        <c:ser>
          <c:idx val="1"/>
          <c:order val="1"/>
          <c:tx>
            <c:v>60Hz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'4.2'!$F$20:$F$31</c:f>
              <c:numCache>
                <c:formatCode>General</c:formatCode>
                <c:ptCount val="12"/>
                <c:pt idx="0">
                  <c:v>0.11848583277154705</c:v>
                </c:pt>
                <c:pt idx="1">
                  <c:v>0.11726011726011724</c:v>
                </c:pt>
                <c:pt idx="2">
                  <c:v>0.11603440174868744</c:v>
                </c:pt>
                <c:pt idx="3">
                  <c:v>0.11440011440011438</c:v>
                </c:pt>
                <c:pt idx="4">
                  <c:v>0.11235725521439806</c:v>
                </c:pt>
                <c:pt idx="5">
                  <c:v>0.1094972523543952</c:v>
                </c:pt>
                <c:pt idx="6">
                  <c:v>0.10541153398296255</c:v>
                </c:pt>
                <c:pt idx="7">
                  <c:v>9.6831525402953963E-2</c:v>
                </c:pt>
                <c:pt idx="8">
                  <c:v>7.8895221752364603E-2</c:v>
                </c:pt>
                <c:pt idx="9">
                  <c:v>6.3001777287491567E-2</c:v>
                </c:pt>
                <c:pt idx="10">
                  <c:v>4.0877612306183732E-2</c:v>
                </c:pt>
                <c:pt idx="11">
                  <c:v>1.523972952544381E-2</c:v>
                </c:pt>
              </c:numCache>
            </c:numRef>
          </c:xVal>
          <c:yVal>
            <c:numRef>
              <c:f>'4.2'!$I$20:$I$31</c:f>
              <c:numCache>
                <c:formatCode>General</c:formatCode>
                <c:ptCount val="12"/>
                <c:pt idx="0">
                  <c:v>1.4507516134658991</c:v>
                </c:pt>
                <c:pt idx="1">
                  <c:v>1.3783004203732776</c:v>
                </c:pt>
                <c:pt idx="2">
                  <c:v>1.3145078388278388</c:v>
                </c:pt>
                <c:pt idx="3">
                  <c:v>1.287496249781964</c:v>
                </c:pt>
                <c:pt idx="4">
                  <c:v>1.2186889499389499</c:v>
                </c:pt>
                <c:pt idx="5">
                  <c:v>1.1272984057212627</c:v>
                </c:pt>
                <c:pt idx="6">
                  <c:v>0.99739305075876494</c:v>
                </c:pt>
                <c:pt idx="7">
                  <c:v>0.8069175492761208</c:v>
                </c:pt>
                <c:pt idx="8">
                  <c:v>0.48907638651665791</c:v>
                </c:pt>
                <c:pt idx="9">
                  <c:v>0.30947312464678178</c:v>
                </c:pt>
                <c:pt idx="10">
                  <c:v>0.13076920460055816</c:v>
                </c:pt>
                <c:pt idx="11">
                  <c:v>3.8653910866910876E-3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5-5B4A-8E38-47A702490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92735"/>
        <c:axId val="503450095"/>
      </c:scatterChart>
      <c:valAx>
        <c:axId val="4978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3450095"/>
        <c:crosses val="autoZero"/>
        <c:crossBetween val="midCat"/>
      </c:valAx>
      <c:valAx>
        <c:axId val="5034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89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10672</xdr:colOff>
      <xdr:row>15</xdr:row>
      <xdr:rowOff>251529</xdr:rowOff>
    </xdr:from>
    <xdr:to>
      <xdr:col>41</xdr:col>
      <xdr:colOff>0</xdr:colOff>
      <xdr:row>31</xdr:row>
      <xdr:rowOff>10672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B21538-16D6-3F40-B1F4-820A4E52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933822</xdr:colOff>
      <xdr:row>0</xdr:row>
      <xdr:rowOff>239058</xdr:rowOff>
    </xdr:from>
    <xdr:to>
      <xdr:col>15</xdr:col>
      <xdr:colOff>952499</xdr:colOff>
      <xdr:row>14</xdr:row>
      <xdr:rowOff>241299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36412E-803D-A440-BA67-00F625D1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16</xdr:col>
      <xdr:colOff>18677</xdr:colOff>
      <xdr:row>32</xdr:row>
      <xdr:rowOff>2241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5E90724-D4B8-6E4A-A364-D859B9C2A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16</xdr:col>
      <xdr:colOff>18677</xdr:colOff>
      <xdr:row>49</xdr:row>
      <xdr:rowOff>2241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6A02E8-CB11-3649-AF9E-2D8BA3F6E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8CCF-90B9-A442-880C-CDD6E17304AF}">
  <dimension ref="A1:AO15"/>
  <sheetViews>
    <sheetView tabSelected="1" topLeftCell="AE1" zoomScale="75" workbookViewId="0">
      <selection activeCell="AO3" sqref="AO3"/>
    </sheetView>
  </sheetViews>
  <sheetFormatPr baseColWidth="10" defaultRowHeight="20"/>
  <cols>
    <col min="35" max="35" width="8.140625" bestFit="1" customWidth="1"/>
    <col min="36" max="36" width="10.5703125" bestFit="1" customWidth="1"/>
    <col min="37" max="37" width="10.7109375" bestFit="1" customWidth="1"/>
    <col min="38" max="38" width="11.140625" bestFit="1" customWidth="1"/>
    <col min="39" max="39" width="12.140625" bestFit="1" customWidth="1"/>
    <col min="40" max="40" width="14.42578125" bestFit="1" customWidth="1"/>
    <col min="41" max="41" width="13.28515625" bestFit="1" customWidth="1"/>
  </cols>
  <sheetData>
    <row r="1" spans="1:41">
      <c r="A1" s="6" t="s">
        <v>0</v>
      </c>
      <c r="B1" s="6" t="s">
        <v>20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41">
      <c r="A2" s="6"/>
      <c r="B2" s="6" t="s">
        <v>1</v>
      </c>
      <c r="C2" s="6"/>
      <c r="D2" s="6"/>
      <c r="E2" s="6" t="s">
        <v>2</v>
      </c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6" t="s">
        <v>9</v>
      </c>
      <c r="AA2" s="6"/>
      <c r="AB2" s="6"/>
      <c r="AC2" s="6" t="s">
        <v>10</v>
      </c>
      <c r="AD2" s="6"/>
      <c r="AE2" s="6"/>
      <c r="AF2" s="6" t="s">
        <v>30</v>
      </c>
      <c r="AG2" s="6" t="s">
        <v>29</v>
      </c>
    </row>
    <row r="3" spans="1:41">
      <c r="A3" s="6"/>
      <c r="B3" t="s">
        <v>11</v>
      </c>
      <c r="C3" t="s">
        <v>12</v>
      </c>
      <c r="D3" t="s">
        <v>32</v>
      </c>
      <c r="E3" t="s">
        <v>11</v>
      </c>
      <c r="F3" t="s">
        <v>12</v>
      </c>
      <c r="G3" t="s">
        <v>32</v>
      </c>
      <c r="H3" t="s">
        <v>11</v>
      </c>
      <c r="I3" t="s">
        <v>12</v>
      </c>
      <c r="J3" t="s">
        <v>32</v>
      </c>
      <c r="K3" t="s">
        <v>11</v>
      </c>
      <c r="L3" t="s">
        <v>12</v>
      </c>
      <c r="M3" t="s">
        <v>32</v>
      </c>
      <c r="N3" t="s">
        <v>11</v>
      </c>
      <c r="O3" t="s">
        <v>12</v>
      </c>
      <c r="P3" t="s">
        <v>32</v>
      </c>
      <c r="Q3" t="s">
        <v>11</v>
      </c>
      <c r="R3" t="s">
        <v>12</v>
      </c>
      <c r="S3" t="s">
        <v>32</v>
      </c>
      <c r="T3" t="s">
        <v>11</v>
      </c>
      <c r="U3" t="s">
        <v>12</v>
      </c>
      <c r="V3" s="1" t="s">
        <v>31</v>
      </c>
      <c r="W3" t="s">
        <v>11</v>
      </c>
      <c r="X3" t="s">
        <v>12</v>
      </c>
      <c r="Y3" s="1" t="s">
        <v>31</v>
      </c>
      <c r="Z3" t="s">
        <v>11</v>
      </c>
      <c r="AA3" t="s">
        <v>12</v>
      </c>
      <c r="AB3" s="1" t="s">
        <v>31</v>
      </c>
      <c r="AC3" t="s">
        <v>11</v>
      </c>
      <c r="AD3" t="s">
        <v>12</v>
      </c>
      <c r="AE3" s="1" t="s">
        <v>31</v>
      </c>
      <c r="AF3" s="6"/>
      <c r="AG3" s="6"/>
      <c r="AI3" t="s">
        <v>14</v>
      </c>
      <c r="AJ3" s="1" t="s">
        <v>33</v>
      </c>
      <c r="AK3" t="s">
        <v>15</v>
      </c>
      <c r="AL3" t="s">
        <v>16</v>
      </c>
      <c r="AM3" t="s">
        <v>17</v>
      </c>
      <c r="AN3" t="s">
        <v>18</v>
      </c>
      <c r="AO3" t="s">
        <v>19</v>
      </c>
    </row>
    <row r="4" spans="1:41">
      <c r="A4">
        <v>50</v>
      </c>
      <c r="B4">
        <v>4.28</v>
      </c>
      <c r="C4">
        <v>8.8699999999999992</v>
      </c>
      <c r="D4">
        <f>B4+C4</f>
        <v>13.149999999999999</v>
      </c>
      <c r="E4">
        <v>7.29</v>
      </c>
      <c r="F4">
        <v>8.85</v>
      </c>
      <c r="G4">
        <f>E4+F4</f>
        <v>16.14</v>
      </c>
      <c r="H4">
        <v>7.37</v>
      </c>
      <c r="I4">
        <v>8.85</v>
      </c>
      <c r="J4">
        <f>H4+I4</f>
        <v>16.22</v>
      </c>
      <c r="K4">
        <v>7.4</v>
      </c>
      <c r="L4">
        <v>8.85</v>
      </c>
      <c r="M4">
        <f>K4+L4</f>
        <v>16.25</v>
      </c>
      <c r="N4">
        <v>7.41</v>
      </c>
      <c r="O4">
        <v>8.85</v>
      </c>
      <c r="P4">
        <f>N4+O4</f>
        <v>16.259999999999998</v>
      </c>
      <c r="Q4">
        <v>7.41</v>
      </c>
      <c r="R4">
        <v>8.84</v>
      </c>
      <c r="S4">
        <f>Q4+R4</f>
        <v>16.25</v>
      </c>
      <c r="T4">
        <v>7.41</v>
      </c>
      <c r="U4">
        <v>8.83</v>
      </c>
      <c r="V4">
        <f>T4+U4</f>
        <v>16.240000000000002</v>
      </c>
      <c r="W4">
        <v>7.4</v>
      </c>
      <c r="X4">
        <v>8.82</v>
      </c>
      <c r="Y4">
        <f>W4+X4</f>
        <v>16.22</v>
      </c>
      <c r="Z4">
        <v>7.4</v>
      </c>
      <c r="AA4">
        <v>8.82</v>
      </c>
      <c r="AB4">
        <f>Z4+AA4</f>
        <v>16.22</v>
      </c>
      <c r="AC4">
        <v>7.39</v>
      </c>
      <c r="AD4">
        <v>8.81</v>
      </c>
      <c r="AE4">
        <f>AC4+AD4</f>
        <v>16.2</v>
      </c>
      <c r="AF4">
        <f>AVERAGE(D4,G4,J4,M4,P4,S4,V4,Y4,AB4,AE4)</f>
        <v>15.914999999999997</v>
      </c>
      <c r="AG4">
        <f>AF4/2</f>
        <v>7.9574999999999987</v>
      </c>
      <c r="AI4" s="3">
        <f t="shared" ref="AI4:AI15" si="0">A4*10^-3</f>
        <v>0.05</v>
      </c>
      <c r="AJ4" s="3">
        <f t="shared" ref="AJ4:AJ15" si="1">AG4</f>
        <v>7.9574999999999987</v>
      </c>
      <c r="AK4" s="5">
        <f>AJ4*10^-3/25</f>
        <v>3.1829999999999998E-4</v>
      </c>
      <c r="AL4" s="3">
        <f>AI4*160/0.32</f>
        <v>25</v>
      </c>
      <c r="AM4" s="2">
        <f>AK4/((30*10^-3)*(20*10^-3))</f>
        <v>0.53049999999999997</v>
      </c>
      <c r="AN4" s="4">
        <f>AM4/AL4</f>
        <v>2.1219999999999999E-2</v>
      </c>
      <c r="AO4" s="3">
        <f>AN4/(4*PI()*10^-7)</f>
        <v>16886.339462050095</v>
      </c>
    </row>
    <row r="5" spans="1:41">
      <c r="A5">
        <v>100</v>
      </c>
      <c r="B5">
        <v>5.49</v>
      </c>
      <c r="C5">
        <v>13.66</v>
      </c>
      <c r="D5">
        <f t="shared" ref="D5:D15" si="2">B5+C5</f>
        <v>19.149999999999999</v>
      </c>
      <c r="E5">
        <v>6.86</v>
      </c>
      <c r="F5">
        <v>13.53</v>
      </c>
      <c r="G5">
        <f t="shared" ref="G5:G15" si="3">E5+F5</f>
        <v>20.39</v>
      </c>
      <c r="H5">
        <v>7</v>
      </c>
      <c r="I5">
        <v>13.5</v>
      </c>
      <c r="J5">
        <f t="shared" ref="J5:J15" si="4">H5+I5</f>
        <v>20.5</v>
      </c>
      <c r="K5">
        <v>7.05</v>
      </c>
      <c r="L5">
        <v>13.46</v>
      </c>
      <c r="M5">
        <f t="shared" ref="M5:M15" si="5">K5+L5</f>
        <v>20.51</v>
      </c>
      <c r="N5">
        <v>7.08</v>
      </c>
      <c r="O5">
        <v>13.44</v>
      </c>
      <c r="P5">
        <f t="shared" ref="P5:P15" si="6">N5+O5</f>
        <v>20.52</v>
      </c>
      <c r="Q5">
        <v>7.08</v>
      </c>
      <c r="R5">
        <v>13.45</v>
      </c>
      <c r="S5">
        <f t="shared" ref="S5:S15" si="7">Q5+R5</f>
        <v>20.53</v>
      </c>
      <c r="T5">
        <v>7.08</v>
      </c>
      <c r="U5">
        <v>13.44</v>
      </c>
      <c r="V5">
        <f t="shared" ref="V5:V15" si="8">T5+U5</f>
        <v>20.52</v>
      </c>
      <c r="W5">
        <v>7.08</v>
      </c>
      <c r="X5">
        <v>13.44</v>
      </c>
      <c r="Y5">
        <f t="shared" ref="Y5:Y15" si="9">W5+X5</f>
        <v>20.52</v>
      </c>
      <c r="Z5">
        <v>7.07</v>
      </c>
      <c r="AA5">
        <v>13.43</v>
      </c>
      <c r="AB5">
        <f t="shared" ref="AB5:AB15" si="10">Z5+AA5</f>
        <v>20.5</v>
      </c>
      <c r="AC5">
        <v>7.07</v>
      </c>
      <c r="AD5">
        <v>13.42</v>
      </c>
      <c r="AE5">
        <f t="shared" ref="AE5:AE15" si="11">AC5+AD5</f>
        <v>20.490000000000002</v>
      </c>
      <c r="AF5">
        <f t="shared" ref="AF5:AF15" si="12">AVERAGE(D5,G5,J5,M5,P5,S5,V5,Y5,AB5,AE5)</f>
        <v>20.363000000000003</v>
      </c>
      <c r="AG5">
        <f t="shared" ref="AG5:AG15" si="13">AF5/2</f>
        <v>10.181500000000002</v>
      </c>
      <c r="AI5" s="3">
        <f t="shared" si="0"/>
        <v>0.1</v>
      </c>
      <c r="AJ5" s="3">
        <f t="shared" si="1"/>
        <v>10.181500000000002</v>
      </c>
      <c r="AK5" s="5">
        <f t="shared" ref="AK5:AK15" si="14">AJ5*10^-3/25</f>
        <v>4.0726000000000005E-4</v>
      </c>
      <c r="AL5" s="3">
        <f t="shared" ref="AL5:AL15" si="15">AI5*160/0.32</f>
        <v>50</v>
      </c>
      <c r="AM5" s="2">
        <f t="shared" ref="AM5:AM15" si="16">AJ5*(10^-3)/((30*10^-3)*(20*10^-3))/25</f>
        <v>0.67876666666666674</v>
      </c>
      <c r="AN5" s="4">
        <f t="shared" ref="AN5:AN15" si="17">AM5/AL5</f>
        <v>1.3575333333333335E-2</v>
      </c>
      <c r="AO5" s="3">
        <f t="shared" ref="AO5:AO15" si="18">AN5/(4*PI()*10^-7)</f>
        <v>10802.907020600884</v>
      </c>
    </row>
    <row r="6" spans="1:41">
      <c r="A6">
        <v>150</v>
      </c>
      <c r="B6">
        <v>3.18</v>
      </c>
      <c r="C6">
        <v>17.77</v>
      </c>
      <c r="D6">
        <f t="shared" si="2"/>
        <v>20.95</v>
      </c>
      <c r="E6">
        <v>3.39</v>
      </c>
      <c r="F6">
        <v>17.68</v>
      </c>
      <c r="G6">
        <f t="shared" si="3"/>
        <v>21.07</v>
      </c>
      <c r="H6">
        <v>3.45</v>
      </c>
      <c r="I6">
        <v>17.63</v>
      </c>
      <c r="J6">
        <f t="shared" si="4"/>
        <v>21.08</v>
      </c>
      <c r="K6">
        <v>3.49</v>
      </c>
      <c r="L6">
        <v>17.600000000000001</v>
      </c>
      <c r="M6">
        <f t="shared" si="5"/>
        <v>21.090000000000003</v>
      </c>
      <c r="N6">
        <v>3.5</v>
      </c>
      <c r="O6">
        <v>17.600000000000001</v>
      </c>
      <c r="P6">
        <f t="shared" si="6"/>
        <v>21.1</v>
      </c>
      <c r="Q6">
        <v>3.51</v>
      </c>
      <c r="R6">
        <v>17.559999999999999</v>
      </c>
      <c r="S6">
        <f t="shared" si="7"/>
        <v>21.07</v>
      </c>
      <c r="T6">
        <v>3.5</v>
      </c>
      <c r="U6">
        <v>17.53</v>
      </c>
      <c r="V6">
        <f t="shared" si="8"/>
        <v>21.03</v>
      </c>
      <c r="W6">
        <v>3.51</v>
      </c>
      <c r="X6">
        <v>17.53</v>
      </c>
      <c r="Y6">
        <f t="shared" si="9"/>
        <v>21.04</v>
      </c>
      <c r="Z6">
        <v>3.51</v>
      </c>
      <c r="AA6">
        <v>17.5</v>
      </c>
      <c r="AB6">
        <f t="shared" si="10"/>
        <v>21.009999999999998</v>
      </c>
      <c r="AC6">
        <v>3.5</v>
      </c>
      <c r="AD6">
        <v>17.47</v>
      </c>
      <c r="AE6">
        <f t="shared" si="11"/>
        <v>20.97</v>
      </c>
      <c r="AF6">
        <f t="shared" si="12"/>
        <v>21.040999999999997</v>
      </c>
      <c r="AG6">
        <f t="shared" si="13"/>
        <v>10.520499999999998</v>
      </c>
      <c r="AI6" s="3">
        <f t="shared" si="0"/>
        <v>0.15</v>
      </c>
      <c r="AJ6" s="3">
        <f t="shared" si="1"/>
        <v>10.520499999999998</v>
      </c>
      <c r="AK6" s="5">
        <f t="shared" si="14"/>
        <v>4.2081999999999992E-4</v>
      </c>
      <c r="AL6" s="3">
        <f t="shared" si="15"/>
        <v>75</v>
      </c>
      <c r="AM6" s="2">
        <f t="shared" si="16"/>
        <v>0.70136666666666669</v>
      </c>
      <c r="AN6" s="4">
        <f t="shared" si="17"/>
        <v>9.3515555555555557E-3</v>
      </c>
      <c r="AO6" s="3">
        <f t="shared" si="18"/>
        <v>7441.7314613257104</v>
      </c>
    </row>
    <row r="7" spans="1:41">
      <c r="A7">
        <v>200</v>
      </c>
      <c r="B7">
        <v>0.19</v>
      </c>
      <c r="C7">
        <v>20.55</v>
      </c>
      <c r="D7">
        <f t="shared" si="2"/>
        <v>20.740000000000002</v>
      </c>
      <c r="E7">
        <v>0.6</v>
      </c>
      <c r="F7">
        <v>20.52</v>
      </c>
      <c r="G7">
        <f t="shared" si="3"/>
        <v>21.12</v>
      </c>
      <c r="H7">
        <v>0.62</v>
      </c>
      <c r="I7">
        <v>20.47</v>
      </c>
      <c r="J7">
        <f t="shared" si="4"/>
        <v>21.09</v>
      </c>
      <c r="K7">
        <v>0.62</v>
      </c>
      <c r="L7">
        <v>20.43</v>
      </c>
      <c r="M7">
        <f t="shared" si="5"/>
        <v>21.05</v>
      </c>
      <c r="N7">
        <v>0.64</v>
      </c>
      <c r="O7">
        <v>20.39</v>
      </c>
      <c r="P7">
        <f t="shared" si="6"/>
        <v>21.03</v>
      </c>
      <c r="Q7">
        <v>0.68</v>
      </c>
      <c r="R7">
        <v>20.36</v>
      </c>
      <c r="S7">
        <f t="shared" si="7"/>
        <v>21.04</v>
      </c>
      <c r="T7">
        <v>0.69</v>
      </c>
      <c r="U7">
        <v>20.34</v>
      </c>
      <c r="V7">
        <f t="shared" si="8"/>
        <v>21.03</v>
      </c>
      <c r="W7">
        <v>0.66</v>
      </c>
      <c r="X7">
        <v>20.309999999999999</v>
      </c>
      <c r="Y7">
        <f t="shared" si="9"/>
        <v>20.97</v>
      </c>
      <c r="Z7">
        <v>0.65</v>
      </c>
      <c r="AA7">
        <v>20.329999999999998</v>
      </c>
      <c r="AB7">
        <f t="shared" si="10"/>
        <v>20.979999999999997</v>
      </c>
      <c r="AC7">
        <v>0.64</v>
      </c>
      <c r="AD7">
        <v>20.32</v>
      </c>
      <c r="AE7">
        <f t="shared" si="11"/>
        <v>20.96</v>
      </c>
      <c r="AF7">
        <f t="shared" si="12"/>
        <v>21.000999999999998</v>
      </c>
      <c r="AG7">
        <f t="shared" si="13"/>
        <v>10.500499999999999</v>
      </c>
      <c r="AI7" s="3">
        <f t="shared" si="0"/>
        <v>0.2</v>
      </c>
      <c r="AJ7" s="3">
        <f t="shared" si="1"/>
        <v>10.500499999999999</v>
      </c>
      <c r="AK7" s="5">
        <f t="shared" si="14"/>
        <v>4.2001999999999995E-4</v>
      </c>
      <c r="AL7" s="3">
        <f t="shared" si="15"/>
        <v>100</v>
      </c>
      <c r="AM7" s="2">
        <f t="shared" si="16"/>
        <v>0.70003333333333329</v>
      </c>
      <c r="AN7" s="4">
        <f t="shared" si="17"/>
        <v>7.0003333333333332E-3</v>
      </c>
      <c r="AO7" s="3">
        <f t="shared" si="18"/>
        <v>5570.688266454823</v>
      </c>
    </row>
    <row r="8" spans="1:41">
      <c r="A8">
        <v>300</v>
      </c>
      <c r="B8">
        <v>3.68</v>
      </c>
      <c r="C8">
        <v>24.87</v>
      </c>
      <c r="D8">
        <f t="shared" si="2"/>
        <v>28.55</v>
      </c>
      <c r="E8">
        <v>3.67</v>
      </c>
      <c r="F8">
        <v>24.78</v>
      </c>
      <c r="G8">
        <f t="shared" si="3"/>
        <v>28.450000000000003</v>
      </c>
      <c r="H8">
        <v>3.7</v>
      </c>
      <c r="I8">
        <v>24.73</v>
      </c>
      <c r="J8">
        <f t="shared" si="4"/>
        <v>28.43</v>
      </c>
      <c r="K8">
        <v>3.73</v>
      </c>
      <c r="L8">
        <v>24.68</v>
      </c>
      <c r="M8">
        <f t="shared" si="5"/>
        <v>28.41</v>
      </c>
      <c r="N8">
        <v>3.75</v>
      </c>
      <c r="O8">
        <v>24.63</v>
      </c>
      <c r="P8">
        <f t="shared" si="6"/>
        <v>28.38</v>
      </c>
      <c r="Q8">
        <v>3.78</v>
      </c>
      <c r="R8">
        <v>24.59</v>
      </c>
      <c r="S8">
        <f t="shared" si="7"/>
        <v>28.37</v>
      </c>
      <c r="T8">
        <v>3.82</v>
      </c>
      <c r="U8">
        <v>24.55</v>
      </c>
      <c r="V8">
        <f t="shared" si="8"/>
        <v>28.37</v>
      </c>
      <c r="W8">
        <v>3.85</v>
      </c>
      <c r="X8">
        <v>24.5</v>
      </c>
      <c r="Y8">
        <f t="shared" si="9"/>
        <v>28.35</v>
      </c>
      <c r="Z8">
        <v>3.86</v>
      </c>
      <c r="AA8">
        <v>24.46</v>
      </c>
      <c r="AB8">
        <f t="shared" si="10"/>
        <v>28.32</v>
      </c>
      <c r="AC8">
        <v>3.91</v>
      </c>
      <c r="AD8">
        <v>24.43</v>
      </c>
      <c r="AE8">
        <f t="shared" si="11"/>
        <v>28.34</v>
      </c>
      <c r="AF8">
        <f t="shared" si="12"/>
        <v>28.396999999999998</v>
      </c>
      <c r="AG8">
        <f t="shared" si="13"/>
        <v>14.198499999999999</v>
      </c>
      <c r="AI8" s="3">
        <f t="shared" si="0"/>
        <v>0.3</v>
      </c>
      <c r="AJ8" s="3">
        <f t="shared" si="1"/>
        <v>14.198499999999999</v>
      </c>
      <c r="AK8" s="5">
        <f t="shared" si="14"/>
        <v>5.6793999999999996E-4</v>
      </c>
      <c r="AL8" s="3">
        <f t="shared" si="15"/>
        <v>150</v>
      </c>
      <c r="AM8" s="2">
        <f t="shared" si="16"/>
        <v>0.94656666666666667</v>
      </c>
      <c r="AN8" s="4">
        <f t="shared" si="17"/>
        <v>6.310444444444444E-3</v>
      </c>
      <c r="AO8" s="3">
        <f t="shared" si="18"/>
        <v>5021.6921322006128</v>
      </c>
    </row>
    <row r="9" spans="1:41">
      <c r="A9">
        <v>400</v>
      </c>
      <c r="B9">
        <v>6.37</v>
      </c>
      <c r="C9">
        <v>26.92</v>
      </c>
      <c r="D9">
        <f t="shared" si="2"/>
        <v>33.29</v>
      </c>
      <c r="E9">
        <v>6.34</v>
      </c>
      <c r="F9">
        <v>26.84</v>
      </c>
      <c r="G9">
        <f t="shared" si="3"/>
        <v>33.18</v>
      </c>
      <c r="H9">
        <v>6.38</v>
      </c>
      <c r="I9">
        <v>26.79</v>
      </c>
      <c r="J9">
        <f t="shared" si="4"/>
        <v>33.17</v>
      </c>
      <c r="K9">
        <v>6.42</v>
      </c>
      <c r="L9">
        <v>26.73</v>
      </c>
      <c r="M9">
        <f t="shared" si="5"/>
        <v>33.15</v>
      </c>
      <c r="N9">
        <v>6.46</v>
      </c>
      <c r="O9">
        <v>26.67</v>
      </c>
      <c r="P9">
        <f t="shared" si="6"/>
        <v>33.130000000000003</v>
      </c>
      <c r="Q9">
        <v>6.5</v>
      </c>
      <c r="R9">
        <v>26.6</v>
      </c>
      <c r="S9">
        <f t="shared" si="7"/>
        <v>33.1</v>
      </c>
      <c r="T9">
        <v>6.54</v>
      </c>
      <c r="U9">
        <v>26.56</v>
      </c>
      <c r="V9">
        <f t="shared" si="8"/>
        <v>33.1</v>
      </c>
      <c r="W9">
        <v>6.6</v>
      </c>
      <c r="X9">
        <v>26.51</v>
      </c>
      <c r="Y9">
        <f t="shared" si="9"/>
        <v>33.11</v>
      </c>
      <c r="Z9">
        <v>6.61</v>
      </c>
      <c r="AA9">
        <v>26.46</v>
      </c>
      <c r="AB9">
        <f t="shared" si="10"/>
        <v>33.07</v>
      </c>
      <c r="AC9">
        <v>6.64</v>
      </c>
      <c r="AD9">
        <v>26.43</v>
      </c>
      <c r="AE9">
        <f t="shared" si="11"/>
        <v>33.07</v>
      </c>
      <c r="AF9">
        <f t="shared" si="12"/>
        <v>33.136999999999993</v>
      </c>
      <c r="AG9">
        <f t="shared" si="13"/>
        <v>16.568499999999997</v>
      </c>
      <c r="AI9" s="3">
        <f t="shared" si="0"/>
        <v>0.4</v>
      </c>
      <c r="AJ9" s="3">
        <f t="shared" si="1"/>
        <v>16.568499999999997</v>
      </c>
      <c r="AK9" s="5">
        <f t="shared" si="14"/>
        <v>6.6273999999999988E-4</v>
      </c>
      <c r="AL9" s="3">
        <f t="shared" si="15"/>
        <v>200</v>
      </c>
      <c r="AM9" s="2">
        <f t="shared" si="16"/>
        <v>1.1045666666666665</v>
      </c>
      <c r="AN9" s="4">
        <f t="shared" si="17"/>
        <v>5.5228333333333327E-3</v>
      </c>
      <c r="AO9" s="3">
        <f t="shared" si="18"/>
        <v>4394.9311243634456</v>
      </c>
    </row>
    <row r="10" spans="1:41">
      <c r="A10">
        <v>500</v>
      </c>
      <c r="B10">
        <v>8.0399999999999991</v>
      </c>
      <c r="C10">
        <v>27.79</v>
      </c>
      <c r="D10">
        <f t="shared" si="2"/>
        <v>35.83</v>
      </c>
      <c r="E10">
        <v>8.14</v>
      </c>
      <c r="F10">
        <v>7</v>
      </c>
      <c r="G10">
        <f t="shared" si="3"/>
        <v>15.14</v>
      </c>
      <c r="H10">
        <v>28.9</v>
      </c>
      <c r="I10">
        <v>6.98</v>
      </c>
      <c r="J10">
        <f t="shared" si="4"/>
        <v>35.879999999999995</v>
      </c>
      <c r="K10">
        <v>28.96</v>
      </c>
      <c r="L10">
        <v>6.9</v>
      </c>
      <c r="M10">
        <f t="shared" si="5"/>
        <v>35.86</v>
      </c>
      <c r="N10">
        <v>29.01</v>
      </c>
      <c r="O10">
        <v>6.88</v>
      </c>
      <c r="P10">
        <f t="shared" si="6"/>
        <v>35.89</v>
      </c>
      <c r="Q10">
        <v>29.06</v>
      </c>
      <c r="R10">
        <v>6.85</v>
      </c>
      <c r="S10">
        <f t="shared" si="7"/>
        <v>35.909999999999997</v>
      </c>
      <c r="T10">
        <v>29.09</v>
      </c>
      <c r="U10">
        <v>6.8</v>
      </c>
      <c r="V10">
        <f t="shared" si="8"/>
        <v>35.89</v>
      </c>
      <c r="W10">
        <v>29.13</v>
      </c>
      <c r="X10">
        <v>1.94</v>
      </c>
      <c r="Y10">
        <f t="shared" si="9"/>
        <v>31.07</v>
      </c>
      <c r="Z10">
        <v>33.979999999999997</v>
      </c>
      <c r="AA10">
        <v>1.92</v>
      </c>
      <c r="AB10">
        <f t="shared" si="10"/>
        <v>35.9</v>
      </c>
      <c r="AC10">
        <v>34.03</v>
      </c>
      <c r="AD10">
        <v>1.87</v>
      </c>
      <c r="AE10">
        <f t="shared" si="11"/>
        <v>35.9</v>
      </c>
      <c r="AF10">
        <f t="shared" si="12"/>
        <v>33.326999999999991</v>
      </c>
      <c r="AG10">
        <f t="shared" si="13"/>
        <v>16.663499999999996</v>
      </c>
      <c r="AI10" s="3">
        <f t="shared" si="0"/>
        <v>0.5</v>
      </c>
      <c r="AJ10" s="3">
        <f t="shared" si="1"/>
        <v>16.663499999999996</v>
      </c>
      <c r="AK10" s="5">
        <f t="shared" si="14"/>
        <v>6.6653999999999975E-4</v>
      </c>
      <c r="AL10" s="3">
        <f t="shared" si="15"/>
        <v>250</v>
      </c>
      <c r="AM10" s="2">
        <f t="shared" si="16"/>
        <v>1.1108999999999998</v>
      </c>
      <c r="AN10" s="4">
        <f t="shared" si="17"/>
        <v>4.4435999999999989E-3</v>
      </c>
      <c r="AO10" s="3">
        <f t="shared" si="18"/>
        <v>3536.1045256157299</v>
      </c>
    </row>
    <row r="11" spans="1:41">
      <c r="A11">
        <v>600</v>
      </c>
      <c r="B11">
        <v>12.52</v>
      </c>
      <c r="C11">
        <v>24.94</v>
      </c>
      <c r="D11">
        <f t="shared" si="2"/>
        <v>37.46</v>
      </c>
      <c r="E11">
        <v>12.61</v>
      </c>
      <c r="F11">
        <v>24.88</v>
      </c>
      <c r="G11">
        <f t="shared" si="3"/>
        <v>37.489999999999995</v>
      </c>
      <c r="H11">
        <v>12.67</v>
      </c>
      <c r="I11">
        <v>24.83</v>
      </c>
      <c r="J11">
        <f t="shared" si="4"/>
        <v>37.5</v>
      </c>
      <c r="K11">
        <v>12.71</v>
      </c>
      <c r="M11">
        <f t="shared" si="5"/>
        <v>12.71</v>
      </c>
      <c r="P11">
        <f t="shared" si="6"/>
        <v>0</v>
      </c>
      <c r="S11">
        <f t="shared" si="7"/>
        <v>0</v>
      </c>
      <c r="V11">
        <f t="shared" si="8"/>
        <v>0</v>
      </c>
      <c r="Y11">
        <f t="shared" si="9"/>
        <v>0</v>
      </c>
      <c r="AB11">
        <f t="shared" si="10"/>
        <v>0</v>
      </c>
      <c r="AE11">
        <f t="shared" si="11"/>
        <v>0</v>
      </c>
      <c r="AF11">
        <f>AVERAGE(D11,G11,J11)</f>
        <v>37.483333333333327</v>
      </c>
      <c r="AG11">
        <f t="shared" si="13"/>
        <v>18.741666666666664</v>
      </c>
      <c r="AI11" s="3">
        <f t="shared" si="0"/>
        <v>0.6</v>
      </c>
      <c r="AJ11" s="3">
        <f t="shared" si="1"/>
        <v>18.741666666666664</v>
      </c>
      <c r="AK11" s="5">
        <f t="shared" si="14"/>
        <v>7.4966666666666649E-4</v>
      </c>
      <c r="AL11" s="3">
        <f t="shared" si="15"/>
        <v>300</v>
      </c>
      <c r="AM11" s="2">
        <f t="shared" si="16"/>
        <v>1.2494444444444444</v>
      </c>
      <c r="AN11" s="4">
        <f t="shared" si="17"/>
        <v>4.1648148148148148E-3</v>
      </c>
      <c r="AO11" s="3">
        <f t="shared" si="18"/>
        <v>3314.2543242006723</v>
      </c>
    </row>
    <row r="12" spans="1:41">
      <c r="A12">
        <v>700</v>
      </c>
      <c r="D12">
        <f t="shared" si="2"/>
        <v>0</v>
      </c>
      <c r="G12">
        <f t="shared" si="3"/>
        <v>0</v>
      </c>
      <c r="J12">
        <f t="shared" si="4"/>
        <v>0</v>
      </c>
      <c r="M12">
        <f t="shared" si="5"/>
        <v>0</v>
      </c>
      <c r="P12">
        <f t="shared" si="6"/>
        <v>0</v>
      </c>
      <c r="S12">
        <f t="shared" si="7"/>
        <v>0</v>
      </c>
      <c r="V12">
        <f t="shared" si="8"/>
        <v>0</v>
      </c>
      <c r="Y12">
        <f t="shared" si="9"/>
        <v>0</v>
      </c>
      <c r="AB12">
        <f t="shared" si="10"/>
        <v>0</v>
      </c>
      <c r="AE12">
        <f t="shared" si="11"/>
        <v>0</v>
      </c>
      <c r="AF12">
        <f t="shared" si="12"/>
        <v>0</v>
      </c>
      <c r="AG12">
        <f t="shared" si="13"/>
        <v>0</v>
      </c>
      <c r="AI12" s="3">
        <f t="shared" si="0"/>
        <v>0.70000000000000007</v>
      </c>
      <c r="AJ12" s="3">
        <f t="shared" si="1"/>
        <v>0</v>
      </c>
      <c r="AK12" s="5">
        <f t="shared" si="14"/>
        <v>0</v>
      </c>
      <c r="AL12" s="3">
        <f t="shared" si="15"/>
        <v>350.00000000000006</v>
      </c>
      <c r="AM12" s="2">
        <f>AJ12*(10^-3)/((30*10^-3)*(20*10^-3))/25</f>
        <v>0</v>
      </c>
      <c r="AN12" s="4">
        <f t="shared" si="17"/>
        <v>0</v>
      </c>
      <c r="AO12" s="3">
        <f t="shared" si="18"/>
        <v>0</v>
      </c>
    </row>
    <row r="13" spans="1:41">
      <c r="A13">
        <v>800</v>
      </c>
      <c r="D13">
        <f t="shared" si="2"/>
        <v>0</v>
      </c>
      <c r="G13">
        <f t="shared" si="3"/>
        <v>0</v>
      </c>
      <c r="J13">
        <f t="shared" si="4"/>
        <v>0</v>
      </c>
      <c r="M13">
        <f t="shared" si="5"/>
        <v>0</v>
      </c>
      <c r="P13">
        <f t="shared" si="6"/>
        <v>0</v>
      </c>
      <c r="S13">
        <f t="shared" si="7"/>
        <v>0</v>
      </c>
      <c r="V13">
        <f t="shared" si="8"/>
        <v>0</v>
      </c>
      <c r="Y13">
        <f t="shared" si="9"/>
        <v>0</v>
      </c>
      <c r="AB13">
        <f t="shared" si="10"/>
        <v>0</v>
      </c>
      <c r="AE13">
        <f t="shared" si="11"/>
        <v>0</v>
      </c>
      <c r="AF13">
        <f t="shared" si="12"/>
        <v>0</v>
      </c>
      <c r="AG13">
        <f t="shared" si="13"/>
        <v>0</v>
      </c>
      <c r="AI13" s="3">
        <f t="shared" si="0"/>
        <v>0.8</v>
      </c>
      <c r="AJ13" s="3">
        <f t="shared" si="1"/>
        <v>0</v>
      </c>
      <c r="AK13" s="5">
        <f t="shared" si="14"/>
        <v>0</v>
      </c>
      <c r="AL13" s="3">
        <f t="shared" si="15"/>
        <v>400</v>
      </c>
      <c r="AM13" s="2">
        <f t="shared" si="16"/>
        <v>0</v>
      </c>
      <c r="AN13" s="4">
        <f t="shared" si="17"/>
        <v>0</v>
      </c>
      <c r="AO13" s="3">
        <f t="shared" si="18"/>
        <v>0</v>
      </c>
    </row>
    <row r="14" spans="1:41">
      <c r="A14">
        <v>900</v>
      </c>
      <c r="D14">
        <f t="shared" si="2"/>
        <v>0</v>
      </c>
      <c r="G14">
        <f t="shared" si="3"/>
        <v>0</v>
      </c>
      <c r="J14">
        <f t="shared" si="4"/>
        <v>0</v>
      </c>
      <c r="M14">
        <f t="shared" si="5"/>
        <v>0</v>
      </c>
      <c r="P14">
        <f t="shared" si="6"/>
        <v>0</v>
      </c>
      <c r="S14">
        <f t="shared" si="7"/>
        <v>0</v>
      </c>
      <c r="V14">
        <f t="shared" si="8"/>
        <v>0</v>
      </c>
      <c r="Y14">
        <f t="shared" si="9"/>
        <v>0</v>
      </c>
      <c r="AB14">
        <f t="shared" si="10"/>
        <v>0</v>
      </c>
      <c r="AE14">
        <f t="shared" si="11"/>
        <v>0</v>
      </c>
      <c r="AF14">
        <f t="shared" si="12"/>
        <v>0</v>
      </c>
      <c r="AG14">
        <f t="shared" si="13"/>
        <v>0</v>
      </c>
      <c r="AI14" s="3">
        <f t="shared" si="0"/>
        <v>0.9</v>
      </c>
      <c r="AJ14" s="3">
        <f t="shared" si="1"/>
        <v>0</v>
      </c>
      <c r="AK14" s="5">
        <f t="shared" si="14"/>
        <v>0</v>
      </c>
      <c r="AL14" s="3">
        <f t="shared" si="15"/>
        <v>450</v>
      </c>
      <c r="AM14" s="2">
        <f t="shared" si="16"/>
        <v>0</v>
      </c>
      <c r="AN14" s="4">
        <f t="shared" si="17"/>
        <v>0</v>
      </c>
      <c r="AO14" s="3">
        <f t="shared" si="18"/>
        <v>0</v>
      </c>
    </row>
    <row r="15" spans="1:41">
      <c r="A15">
        <v>1000</v>
      </c>
      <c r="D15">
        <f t="shared" si="2"/>
        <v>0</v>
      </c>
      <c r="G15">
        <f t="shared" si="3"/>
        <v>0</v>
      </c>
      <c r="J15">
        <f t="shared" si="4"/>
        <v>0</v>
      </c>
      <c r="M15">
        <f t="shared" si="5"/>
        <v>0</v>
      </c>
      <c r="P15">
        <f t="shared" si="6"/>
        <v>0</v>
      </c>
      <c r="S15">
        <f t="shared" si="7"/>
        <v>0</v>
      </c>
      <c r="V15">
        <f t="shared" si="8"/>
        <v>0</v>
      </c>
      <c r="Y15">
        <f t="shared" si="9"/>
        <v>0</v>
      </c>
      <c r="AB15">
        <f t="shared" si="10"/>
        <v>0</v>
      </c>
      <c r="AE15">
        <f t="shared" si="11"/>
        <v>0</v>
      </c>
      <c r="AF15">
        <f t="shared" si="12"/>
        <v>0</v>
      </c>
      <c r="AG15">
        <f t="shared" si="13"/>
        <v>0</v>
      </c>
      <c r="AI15" s="3">
        <f t="shared" si="0"/>
        <v>1</v>
      </c>
      <c r="AJ15" s="3">
        <f t="shared" si="1"/>
        <v>0</v>
      </c>
      <c r="AK15" s="5">
        <f t="shared" si="14"/>
        <v>0</v>
      </c>
      <c r="AL15" s="3">
        <f t="shared" si="15"/>
        <v>500</v>
      </c>
      <c r="AM15" s="2">
        <f t="shared" si="16"/>
        <v>0</v>
      </c>
      <c r="AN15" s="4">
        <f t="shared" si="17"/>
        <v>0</v>
      </c>
      <c r="AO15" s="3">
        <f t="shared" si="18"/>
        <v>0</v>
      </c>
    </row>
  </sheetData>
  <mergeCells count="14">
    <mergeCell ref="A1:A3"/>
    <mergeCell ref="B2:D2"/>
    <mergeCell ref="E2:G2"/>
    <mergeCell ref="H2:J2"/>
    <mergeCell ref="K2:M2"/>
    <mergeCell ref="B1:AG1"/>
    <mergeCell ref="AG2:AG3"/>
    <mergeCell ref="Q2:S2"/>
    <mergeCell ref="Z2:AB2"/>
    <mergeCell ref="AC2:AE2"/>
    <mergeCell ref="AF2:AF3"/>
    <mergeCell ref="T2:V2"/>
    <mergeCell ref="W2:Y2"/>
    <mergeCell ref="N2:P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A7F2-9247-824A-B6F3-85BC858DB314}">
  <dimension ref="A1:L51"/>
  <sheetViews>
    <sheetView zoomScale="83" workbookViewId="0">
      <selection activeCell="E11" sqref="E11"/>
    </sheetView>
  </sheetViews>
  <sheetFormatPr baseColWidth="10" defaultRowHeight="20"/>
  <cols>
    <col min="1" max="1" width="14.28515625" bestFit="1" customWidth="1"/>
    <col min="2" max="2" width="15.140625" bestFit="1" customWidth="1"/>
    <col min="3" max="3" width="14.28515625" bestFit="1" customWidth="1"/>
    <col min="4" max="4" width="13.140625" bestFit="1" customWidth="1"/>
    <col min="5" max="5" width="18.42578125" bestFit="1" customWidth="1"/>
    <col min="6" max="6" width="17.5703125" bestFit="1" customWidth="1"/>
    <col min="7" max="7" width="14.7109375" bestFit="1" customWidth="1"/>
    <col min="8" max="8" width="11.140625" bestFit="1" customWidth="1"/>
    <col min="9" max="9" width="13.85546875" bestFit="1" customWidth="1"/>
    <col min="11" max="11" width="10.85546875" bestFit="1" customWidth="1"/>
  </cols>
  <sheetData>
    <row r="1" spans="1:9">
      <c r="A1" t="s">
        <v>34</v>
      </c>
      <c r="B1">
        <v>50</v>
      </c>
      <c r="C1" t="s">
        <v>13</v>
      </c>
    </row>
    <row r="2" spans="1:9">
      <c r="A2" t="s">
        <v>35</v>
      </c>
      <c r="B2" t="s">
        <v>28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</row>
    <row r="3" spans="1:9">
      <c r="A3">
        <v>298</v>
      </c>
      <c r="B3">
        <v>48.5</v>
      </c>
      <c r="C3">
        <f>15*0.2</f>
        <v>3</v>
      </c>
      <c r="D3" s="2">
        <f>SQRT((A3*10^-3)^2-(C3/B3)^2)</f>
        <v>0.29150965005655877</v>
      </c>
      <c r="E3">
        <f>SQRT(2)*D3*700/0.88</f>
        <v>327.9316255350389</v>
      </c>
      <c r="F3">
        <f t="shared" ref="F3:F15" si="0">B3/(4.44*$B$1*700*2625*10^-6)</f>
        <v>0.1188944046086903</v>
      </c>
      <c r="G3">
        <f>F3/E3</f>
        <v>3.6255851937033333E-4</v>
      </c>
      <c r="H3">
        <f>G3/(4*PI()*10^-7)</f>
        <v>288.51490258933615</v>
      </c>
      <c r="I3">
        <f t="shared" ref="I3:I15" si="1">(C3-B3^2*(10^-1*10^-6 + 5^-1*10^-3) )/2.2932</f>
        <v>1.1029630102040815</v>
      </c>
    </row>
    <row r="4" spans="1:9">
      <c r="A4">
        <v>270.5</v>
      </c>
      <c r="B4">
        <v>47.9</v>
      </c>
      <c r="C4">
        <f>14.5*0.2</f>
        <v>2.9000000000000004</v>
      </c>
      <c r="D4" s="2">
        <f t="shared" ref="D4:D15" si="2">SQRT((A4*10^-3)^2-(C4/B4)^2)</f>
        <v>0.2636376673988487</v>
      </c>
      <c r="E4">
        <f>SQRT(2)*D4*700/0.88</f>
        <v>296.57724471761509</v>
      </c>
      <c r="F4">
        <f t="shared" si="0"/>
        <v>0.11742354599497454</v>
      </c>
      <c r="G4">
        <f t="shared" ref="G4:G11" si="3">F4/E4</f>
        <v>3.9592904744522434E-4</v>
      </c>
      <c r="H4">
        <f t="shared" ref="H4:H15" si="4">G4/(4*PI()*10^-7)</f>
        <v>315.07032507286505</v>
      </c>
      <c r="I4">
        <f t="shared" si="1"/>
        <v>1.0644028253096112</v>
      </c>
    </row>
    <row r="5" spans="1:9">
      <c r="A5">
        <v>241.6</v>
      </c>
      <c r="B5">
        <v>47.4</v>
      </c>
      <c r="C5">
        <f>14*0.2</f>
        <v>2.8000000000000003</v>
      </c>
      <c r="D5" s="2">
        <f t="shared" si="2"/>
        <v>0.2342671353813677</v>
      </c>
      <c r="E5">
        <f>SQRT(2)*D5*700/0.88</f>
        <v>263.53708187754199</v>
      </c>
      <c r="F5">
        <f t="shared" si="0"/>
        <v>0.11619783048354475</v>
      </c>
      <c r="G5">
        <f t="shared" si="3"/>
        <v>4.4091643443763443E-4</v>
      </c>
      <c r="H5">
        <f t="shared" si="4"/>
        <v>350.87015015601554</v>
      </c>
      <c r="I5">
        <f t="shared" si="1"/>
        <v>1.0249534815977674</v>
      </c>
    </row>
    <row r="6" spans="1:9">
      <c r="A6">
        <v>209.3</v>
      </c>
      <c r="B6">
        <v>46.7</v>
      </c>
      <c r="C6">
        <f>13.5*0.2</f>
        <v>2.7</v>
      </c>
      <c r="D6" s="2">
        <f t="shared" si="2"/>
        <v>0.20115620291606204</v>
      </c>
      <c r="E6">
        <f t="shared" ref="E6:E14" si="5">SQRT(2)*D6*700/0.88</f>
        <v>226.28918320858921</v>
      </c>
      <c r="F6">
        <f t="shared" si="0"/>
        <v>0.11448182876754304</v>
      </c>
      <c r="G6">
        <f t="shared" si="3"/>
        <v>5.0590941707547639E-4</v>
      </c>
      <c r="H6">
        <f t="shared" si="4"/>
        <v>402.58992242150697</v>
      </c>
      <c r="I6">
        <f t="shared" si="1"/>
        <v>0.98709397828362111</v>
      </c>
    </row>
    <row r="7" spans="1:9">
      <c r="A7">
        <v>179.5</v>
      </c>
      <c r="B7">
        <v>45.9</v>
      </c>
      <c r="C7">
        <f>13*0.2</f>
        <v>2.6</v>
      </c>
      <c r="D7" s="2">
        <f t="shared" si="2"/>
        <v>0.17032794119004699</v>
      </c>
      <c r="E7">
        <f t="shared" si="5"/>
        <v>191.60915811072269</v>
      </c>
      <c r="F7">
        <f t="shared" si="0"/>
        <v>0.11252068394925535</v>
      </c>
      <c r="G7">
        <f t="shared" si="3"/>
        <v>5.8724063640128567E-4</v>
      </c>
      <c r="H7">
        <f t="shared" si="4"/>
        <v>467.31125033847513</v>
      </c>
      <c r="I7">
        <f t="shared" si="1"/>
        <v>0.94995086298622</v>
      </c>
    </row>
    <row r="8" spans="1:9">
      <c r="A8">
        <v>150</v>
      </c>
      <c r="B8">
        <v>44.9</v>
      </c>
      <c r="C8">
        <f>12*0.2</f>
        <v>2.4000000000000004</v>
      </c>
      <c r="D8" s="2">
        <f t="shared" si="2"/>
        <v>0.14015302820532435</v>
      </c>
      <c r="E8">
        <f t="shared" si="5"/>
        <v>157.6641128487955</v>
      </c>
      <c r="F8">
        <f t="shared" si="0"/>
        <v>0.11006925292639576</v>
      </c>
      <c r="G8">
        <f t="shared" si="3"/>
        <v>6.9812496285667368E-4</v>
      </c>
      <c r="H8">
        <f t="shared" si="4"/>
        <v>555.55019367242721</v>
      </c>
      <c r="I8">
        <f t="shared" si="1"/>
        <v>0.87065951465201474</v>
      </c>
    </row>
    <row r="9" spans="1:9">
      <c r="A9">
        <v>120</v>
      </c>
      <c r="B9">
        <v>43.2</v>
      </c>
      <c r="C9">
        <f>11*0.2</f>
        <v>2.2000000000000002</v>
      </c>
      <c r="D9" s="2">
        <f t="shared" si="2"/>
        <v>0.1086579498637219</v>
      </c>
      <c r="E9">
        <f t="shared" si="5"/>
        <v>122.23395732937719</v>
      </c>
      <c r="F9">
        <f t="shared" si="0"/>
        <v>0.10590182018753447</v>
      </c>
      <c r="G9">
        <f t="shared" si="3"/>
        <v>8.663862522438556E-4</v>
      </c>
      <c r="H9">
        <f t="shared" si="4"/>
        <v>689.44827335735658</v>
      </c>
      <c r="I9">
        <f t="shared" si="1"/>
        <v>0.79651376940519791</v>
      </c>
    </row>
    <row r="10" spans="1:9">
      <c r="A10">
        <v>90</v>
      </c>
      <c r="B10">
        <v>40</v>
      </c>
      <c r="C10">
        <f>9*0.2</f>
        <v>1.8</v>
      </c>
      <c r="D10" s="2">
        <f t="shared" si="2"/>
        <v>7.7942286340599479E-2</v>
      </c>
      <c r="E10">
        <f t="shared" si="5"/>
        <v>87.680598747352406</v>
      </c>
      <c r="F10">
        <f t="shared" si="0"/>
        <v>9.8057240914383753E-2</v>
      </c>
      <c r="G10">
        <f t="shared" si="3"/>
        <v>1.1183459318854694E-3</v>
      </c>
      <c r="H10">
        <f t="shared" si="4"/>
        <v>889.95141573142268</v>
      </c>
      <c r="I10">
        <f t="shared" si="1"/>
        <v>0.64531658817373105</v>
      </c>
    </row>
    <row r="11" spans="1:9">
      <c r="A11">
        <v>60</v>
      </c>
      <c r="B11">
        <v>33.19</v>
      </c>
      <c r="C11">
        <f>6*0.2</f>
        <v>1.2000000000000002</v>
      </c>
      <c r="D11" s="2">
        <f t="shared" si="2"/>
        <v>4.78830042550469E-2</v>
      </c>
      <c r="E11">
        <f t="shared" si="5"/>
        <v>53.865631610521781</v>
      </c>
      <c r="F11">
        <f t="shared" si="0"/>
        <v>8.1362995648709913E-2</v>
      </c>
      <c r="G11">
        <f t="shared" si="3"/>
        <v>1.5104806760089483E-3</v>
      </c>
      <c r="H11">
        <f t="shared" si="4"/>
        <v>1202.0023301580588</v>
      </c>
      <c r="I11">
        <f t="shared" si="1"/>
        <v>0.42716493214285717</v>
      </c>
    </row>
    <row r="12" spans="1:9">
      <c r="A12">
        <v>45</v>
      </c>
      <c r="B12">
        <v>26.87</v>
      </c>
      <c r="C12">
        <f>3.5*0.2</f>
        <v>0.70000000000000007</v>
      </c>
      <c r="D12" s="2">
        <f t="shared" si="2"/>
        <v>3.6692325163691586E-2</v>
      </c>
      <c r="E12">
        <f t="shared" si="5"/>
        <v>41.276759905735645</v>
      </c>
      <c r="F12">
        <f t="shared" si="0"/>
        <v>6.5869951584237293E-2</v>
      </c>
      <c r="G12">
        <f>F12/E12</f>
        <v>1.5958120679691306E-3</v>
      </c>
      <c r="H12">
        <f t="shared" si="4"/>
        <v>1269.9068943149339</v>
      </c>
      <c r="I12">
        <f t="shared" si="1"/>
        <v>0.24225031410692482</v>
      </c>
    </row>
    <row r="13" spans="1:9">
      <c r="A13">
        <v>30</v>
      </c>
      <c r="B13">
        <v>17.77</v>
      </c>
      <c r="C13">
        <f>1.5*0.2</f>
        <v>0.30000000000000004</v>
      </c>
      <c r="D13" s="2">
        <f t="shared" si="2"/>
        <v>2.4798891940264713E-2</v>
      </c>
      <c r="E13">
        <f t="shared" si="5"/>
        <v>27.897330135935267</v>
      </c>
      <c r="F13">
        <f t="shared" si="0"/>
        <v>4.3561929276214981E-2</v>
      </c>
      <c r="G13">
        <f t="shared" ref="G13:G15" si="6">F13/E13</f>
        <v>1.5615088993803654E-3</v>
      </c>
      <c r="H13">
        <f t="shared" si="4"/>
        <v>1242.6093000918509</v>
      </c>
      <c r="I13">
        <f t="shared" si="1"/>
        <v>0.10326785396389326</v>
      </c>
    </row>
    <row r="14" spans="1:9">
      <c r="A14">
        <v>15</v>
      </c>
      <c r="B14">
        <v>6.62</v>
      </c>
      <c r="C14">
        <f>0.1*0.2</f>
        <v>2.0000000000000004E-2</v>
      </c>
      <c r="D14" s="2">
        <f t="shared" si="2"/>
        <v>1.4692605777840768E-2</v>
      </c>
      <c r="E14">
        <f t="shared" si="5"/>
        <v>16.528338239018865</v>
      </c>
      <c r="F14">
        <f t="shared" si="0"/>
        <v>1.6228473371330512E-2</v>
      </c>
      <c r="G14">
        <f t="shared" si="6"/>
        <v>9.8185753078428332E-4</v>
      </c>
      <c r="H14">
        <f t="shared" si="4"/>
        <v>781.33739718160746</v>
      </c>
      <c r="I14">
        <f t="shared" si="1"/>
        <v>4.8974086691086702E-3</v>
      </c>
    </row>
    <row r="15" spans="1:9">
      <c r="A15">
        <v>0.03</v>
      </c>
      <c r="B15">
        <v>2.1999999999999999E-2</v>
      </c>
      <c r="C15">
        <v>0</v>
      </c>
      <c r="D15" s="2">
        <f t="shared" si="2"/>
        <v>3.0000000000000001E-5</v>
      </c>
      <c r="E15">
        <f>SQRT(2)*D15*700/0.88</f>
        <v>3.3748278192994315E-2</v>
      </c>
      <c r="F15">
        <f t="shared" si="0"/>
        <v>5.3931482502911062E-5</v>
      </c>
      <c r="G15">
        <f t="shared" si="6"/>
        <v>1.5980513789324666E-3</v>
      </c>
      <c r="H15">
        <f t="shared" si="4"/>
        <v>1271.6888813596081</v>
      </c>
      <c r="I15">
        <f t="shared" si="1"/>
        <v>-4.223286237571951E-8</v>
      </c>
    </row>
    <row r="18" spans="1:9">
      <c r="A18" t="s">
        <v>34</v>
      </c>
      <c r="B18">
        <v>60</v>
      </c>
      <c r="C18" t="s">
        <v>13</v>
      </c>
    </row>
    <row r="19" spans="1:9">
      <c r="A19" t="s">
        <v>35</v>
      </c>
      <c r="B19" t="s">
        <v>28</v>
      </c>
      <c r="C19" t="s">
        <v>21</v>
      </c>
      <c r="D19" t="s">
        <v>22</v>
      </c>
      <c r="E19" t="s">
        <v>23</v>
      </c>
      <c r="F19" t="s">
        <v>24</v>
      </c>
      <c r="G19" t="s">
        <v>25</v>
      </c>
      <c r="H19" t="s">
        <v>26</v>
      </c>
      <c r="I19" t="s">
        <v>27</v>
      </c>
    </row>
    <row r="20" spans="1:9">
      <c r="A20">
        <v>300</v>
      </c>
      <c r="B20">
        <v>58</v>
      </c>
      <c r="C20">
        <f>20*0.2</f>
        <v>4</v>
      </c>
      <c r="D20" s="2">
        <f>SQRT((A20*10^-3)^2-(C20/B20)^2)</f>
        <v>0.29196533601033703</v>
      </c>
      <c r="E20">
        <f>SQRT(2)*D20*700/0.88</f>
        <v>328.44424607959718</v>
      </c>
      <c r="F20">
        <f>B20/(4.44*$B$18*700*2625*10^-6)</f>
        <v>0.11848583277154705</v>
      </c>
      <c r="G20">
        <f>F20/E20</f>
        <v>3.607486938371649E-4</v>
      </c>
      <c r="H20">
        <f>G20/(4*PI()*10^-7)</f>
        <v>287.07468919064775</v>
      </c>
      <c r="I20">
        <f t="shared" ref="I20:I32" si="7">(C20-B20^2*(10^-1*10^-6 + 5^-1*10^-3) )/2.2932</f>
        <v>1.4507516134658991</v>
      </c>
    </row>
    <row r="21" spans="1:9">
      <c r="A21">
        <v>270.10000000000002</v>
      </c>
      <c r="B21">
        <v>57.4</v>
      </c>
      <c r="C21">
        <f>19.1*0.2</f>
        <v>3.8200000000000003</v>
      </c>
      <c r="D21" s="2">
        <f t="shared" ref="D21:D32" si="8">SQRT((A21*10^-3)^2-(C21/B21)^2)</f>
        <v>0.26177287471253952</v>
      </c>
      <c r="E21">
        <f>SQRT(2)*D21*700/0.88</f>
        <v>294.47945997262099</v>
      </c>
      <c r="F21">
        <f t="shared" ref="F21:F32" si="9">B21/(4.44*$B$18*700*2625*10^-6)</f>
        <v>0.11726011726011724</v>
      </c>
      <c r="G21">
        <f t="shared" ref="G21:G28" si="10">F21/E21</f>
        <v>3.9819455411599646E-4</v>
      </c>
      <c r="H21">
        <f t="shared" ref="H21:H32" si="11">G21/(4*PI()*10^-7)</f>
        <v>316.87315799917025</v>
      </c>
      <c r="I21">
        <f t="shared" si="7"/>
        <v>1.3783004203732776</v>
      </c>
    </row>
    <row r="22" spans="1:9">
      <c r="A22">
        <v>240.3</v>
      </c>
      <c r="B22">
        <v>56.8</v>
      </c>
      <c r="C22">
        <f>18.3*0.2</f>
        <v>3.66</v>
      </c>
      <c r="D22" s="2">
        <f t="shared" si="8"/>
        <v>0.23149948604538612</v>
      </c>
      <c r="E22">
        <f t="shared" ref="E22:E32" si="12">SQRT(2)*D22*700/0.88</f>
        <v>260.42363521982986</v>
      </c>
      <c r="F22">
        <f t="shared" si="9"/>
        <v>0.11603440174868744</v>
      </c>
      <c r="G22">
        <f t="shared" si="10"/>
        <v>4.4556017986132485E-4</v>
      </c>
      <c r="H22">
        <f t="shared" si="11"/>
        <v>354.56552534921906</v>
      </c>
      <c r="I22">
        <f t="shared" si="7"/>
        <v>1.3145078388278388</v>
      </c>
    </row>
    <row r="23" spans="1:9">
      <c r="A23">
        <v>210.2</v>
      </c>
      <c r="B23">
        <v>56</v>
      </c>
      <c r="C23">
        <f>17.9*0.2</f>
        <v>3.58</v>
      </c>
      <c r="D23" s="2">
        <f t="shared" si="8"/>
        <v>0.20024279701178277</v>
      </c>
      <c r="E23">
        <f t="shared" si="12"/>
        <v>225.26165398989787</v>
      </c>
      <c r="F23">
        <f t="shared" si="9"/>
        <v>0.11440011440011438</v>
      </c>
      <c r="G23">
        <f t="shared" si="10"/>
        <v>5.0785436568464865E-4</v>
      </c>
      <c r="H23">
        <f t="shared" si="11"/>
        <v>404.13766334755428</v>
      </c>
      <c r="I23">
        <f t="shared" si="7"/>
        <v>1.287496249781964</v>
      </c>
    </row>
    <row r="24" spans="1:9">
      <c r="A24">
        <v>180.1</v>
      </c>
      <c r="B24">
        <v>55</v>
      </c>
      <c r="C24">
        <f>17*0.2</f>
        <v>3.4000000000000004</v>
      </c>
      <c r="D24" s="2">
        <f t="shared" si="8"/>
        <v>0.16915827616966961</v>
      </c>
      <c r="E24">
        <f t="shared" si="12"/>
        <v>190.2933520940457</v>
      </c>
      <c r="F24">
        <f t="shared" si="9"/>
        <v>0.11235725521439806</v>
      </c>
      <c r="G24">
        <f t="shared" si="10"/>
        <v>5.9044235638284147E-4</v>
      </c>
      <c r="H24">
        <f t="shared" si="11"/>
        <v>469.8590981457786</v>
      </c>
      <c r="I24">
        <f t="shared" si="7"/>
        <v>1.2186889499389499</v>
      </c>
    </row>
    <row r="25" spans="1:9">
      <c r="A25">
        <v>150</v>
      </c>
      <c r="B25">
        <v>53.6</v>
      </c>
      <c r="C25">
        <f>15.8*0.2</f>
        <v>3.16</v>
      </c>
      <c r="D25" s="2">
        <f t="shared" si="8"/>
        <v>0.13792853793609458</v>
      </c>
      <c r="E25">
        <f t="shared" si="12"/>
        <v>155.161688967343</v>
      </c>
      <c r="F25">
        <f t="shared" si="9"/>
        <v>0.1094972523543952</v>
      </c>
      <c r="G25">
        <f t="shared" si="10"/>
        <v>7.0569773429987072E-4</v>
      </c>
      <c r="H25">
        <f t="shared" si="11"/>
        <v>561.57641371287696</v>
      </c>
      <c r="I25">
        <f t="shared" si="7"/>
        <v>1.1272984057212627</v>
      </c>
    </row>
    <row r="26" spans="1:9">
      <c r="A26">
        <v>120.2</v>
      </c>
      <c r="B26">
        <v>51.6</v>
      </c>
      <c r="C26">
        <f>14.1*0.2</f>
        <v>2.8200000000000003</v>
      </c>
      <c r="D26" s="2">
        <f t="shared" si="8"/>
        <v>0.10705741639711217</v>
      </c>
      <c r="E26">
        <f t="shared" si="12"/>
        <v>120.43344903976575</v>
      </c>
      <c r="F26">
        <f t="shared" si="9"/>
        <v>0.10541153398296255</v>
      </c>
      <c r="G26">
        <f t="shared" si="10"/>
        <v>8.7526791620953131E-4</v>
      </c>
      <c r="H26">
        <f t="shared" si="11"/>
        <v>696.5160769724489</v>
      </c>
      <c r="I26">
        <f t="shared" si="7"/>
        <v>0.99739305075876494</v>
      </c>
    </row>
    <row r="27" spans="1:9">
      <c r="A27">
        <v>90</v>
      </c>
      <c r="B27">
        <v>47.4</v>
      </c>
      <c r="C27">
        <f>11.5*0.2</f>
        <v>2.3000000000000003</v>
      </c>
      <c r="D27" s="2">
        <f t="shared" si="8"/>
        <v>7.5799066000804938E-2</v>
      </c>
      <c r="E27">
        <f t="shared" si="12"/>
        <v>85.269598872143391</v>
      </c>
      <c r="F27">
        <f t="shared" si="9"/>
        <v>9.6831525402953963E-2</v>
      </c>
      <c r="G27">
        <f t="shared" si="10"/>
        <v>1.1355925990474869E-3</v>
      </c>
      <c r="H27">
        <f t="shared" si="11"/>
        <v>903.67587738490147</v>
      </c>
      <c r="I27">
        <f t="shared" si="7"/>
        <v>0.8069175492761208</v>
      </c>
    </row>
    <row r="28" spans="1:9">
      <c r="A28">
        <v>60</v>
      </c>
      <c r="B28">
        <v>38.619999999999997</v>
      </c>
      <c r="C28">
        <f>7.1*0.2</f>
        <v>1.42</v>
      </c>
      <c r="D28" s="2">
        <f t="shared" si="8"/>
        <v>4.7413884027442649E-2</v>
      </c>
      <c r="E28">
        <f t="shared" si="12"/>
        <v>53.337898278950142</v>
      </c>
      <c r="F28">
        <f t="shared" si="9"/>
        <v>7.8895221752364603E-2</v>
      </c>
      <c r="G28">
        <f t="shared" si="10"/>
        <v>1.4791588026163507E-3</v>
      </c>
      <c r="H28">
        <f t="shared" si="11"/>
        <v>1177.0771752714068</v>
      </c>
      <c r="I28">
        <f t="shared" si="7"/>
        <v>0.48907638651665791</v>
      </c>
    </row>
    <row r="29" spans="1:9">
      <c r="A29">
        <v>45</v>
      </c>
      <c r="B29">
        <v>30.84</v>
      </c>
      <c r="C29">
        <f>4.5*0.2</f>
        <v>0.9</v>
      </c>
      <c r="D29" s="2">
        <f t="shared" si="8"/>
        <v>3.4254336239989518E-2</v>
      </c>
      <c r="E29">
        <f t="shared" si="12"/>
        <v>38.534162291451103</v>
      </c>
      <c r="F29">
        <f t="shared" si="9"/>
        <v>6.3001777287491567E-2</v>
      </c>
      <c r="G29">
        <f>F29/E29</f>
        <v>1.6349590477919554E-3</v>
      </c>
      <c r="H29">
        <f t="shared" si="11"/>
        <v>1301.0590710445401</v>
      </c>
      <c r="I29">
        <f t="shared" si="7"/>
        <v>0.30947312464678178</v>
      </c>
    </row>
    <row r="30" spans="1:9">
      <c r="A30">
        <v>30</v>
      </c>
      <c r="B30">
        <v>20.010000000000002</v>
      </c>
      <c r="C30">
        <f>1.9*0.2</f>
        <v>0.38</v>
      </c>
      <c r="D30" s="2">
        <f t="shared" si="8"/>
        <v>2.3224141091338281E-2</v>
      </c>
      <c r="E30">
        <f t="shared" si="12"/>
        <v>26.125825811461159</v>
      </c>
      <c r="F30">
        <f t="shared" si="9"/>
        <v>4.0877612306183732E-2</v>
      </c>
      <c r="G30">
        <f t="shared" ref="G30:G32" si="13">F30/E30</f>
        <v>1.5646438356123121E-3</v>
      </c>
      <c r="H30">
        <f t="shared" si="11"/>
        <v>1245.1040030798119</v>
      </c>
      <c r="I30">
        <f t="shared" si="7"/>
        <v>0.13076920460055816</v>
      </c>
    </row>
    <row r="31" spans="1:9">
      <c r="A31">
        <v>15</v>
      </c>
      <c r="B31">
        <v>7.46</v>
      </c>
      <c r="C31">
        <f>0.1*0.2</f>
        <v>2.0000000000000004E-2</v>
      </c>
      <c r="D31" s="2">
        <f t="shared" si="8"/>
        <v>1.4758469631982235E-2</v>
      </c>
      <c r="E31">
        <f t="shared" si="12"/>
        <v>16.602431294766497</v>
      </c>
      <c r="F31">
        <f t="shared" si="9"/>
        <v>1.523972952544381E-2</v>
      </c>
      <c r="G31">
        <f t="shared" si="13"/>
        <v>9.17921553468362E-4</v>
      </c>
      <c r="H31">
        <f t="shared" si="11"/>
        <v>730.4587630254066</v>
      </c>
      <c r="I31">
        <f t="shared" si="7"/>
        <v>3.8653910866910876E-3</v>
      </c>
    </row>
    <row r="32" spans="1:9">
      <c r="A32">
        <v>0.02</v>
      </c>
      <c r="B32">
        <v>2.3E-2</v>
      </c>
      <c r="C32">
        <v>0</v>
      </c>
      <c r="D32" s="2">
        <f t="shared" si="8"/>
        <v>2.0000000000000002E-5</v>
      </c>
      <c r="E32">
        <f t="shared" si="12"/>
        <v>2.2498852128662879E-2</v>
      </c>
      <c r="F32">
        <f t="shared" si="9"/>
        <v>4.698576127147555E-5</v>
      </c>
      <c r="G32">
        <f t="shared" si="13"/>
        <v>2.0883625974685645E-3</v>
      </c>
      <c r="H32">
        <f t="shared" si="11"/>
        <v>1661.8661517767605</v>
      </c>
      <c r="I32">
        <f t="shared" si="7"/>
        <v>-4.6159471480900049E-8</v>
      </c>
    </row>
    <row r="51" spans="12:12">
      <c r="L51" t="s">
        <v>36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4.1</vt:lpstr>
      <vt:lpstr>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2019-04-18T00:23:16Z</dcterms:created>
  <dcterms:modified xsi:type="dcterms:W3CDTF">2019-07-12T04:02:46Z</dcterms:modified>
</cp:coreProperties>
</file>