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ga\Documents\ClassExperiment\5th\1_1\data\"/>
    </mc:Choice>
  </mc:AlternateContent>
  <xr:revisionPtr revIDLastSave="0" documentId="13_ncr:1_{9E8E3230-A7AD-4F6D-B571-A708086B55B2}" xr6:coauthVersionLast="41" xr6:coauthVersionMax="43" xr10:uidLastSave="{00000000-0000-0000-0000-000000000000}"/>
  <bookViews>
    <workbookView xWindow="810" yWindow="-120" windowWidth="24510" windowHeight="15990" activeTab="1" xr2:uid="{BF469469-80EF-BB4B-A8E2-E66513E50EB9}"/>
  </bookViews>
  <sheets>
    <sheet name="4.1" sheetId="3" r:id="rId1"/>
    <sheet name="4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4" l="1"/>
  <c r="R11" i="4"/>
  <c r="R14" i="4"/>
  <c r="R17" i="4" s="1"/>
  <c r="R15" i="4"/>
  <c r="R13" i="4"/>
  <c r="R16" i="4" s="1"/>
  <c r="S3" i="4"/>
  <c r="R5" i="4"/>
  <c r="R4" i="4"/>
  <c r="R3" i="4"/>
  <c r="AQ6" i="3"/>
  <c r="AQ5" i="3"/>
  <c r="AQ4" i="3"/>
  <c r="E15" i="4" l="1"/>
  <c r="E5" i="4"/>
  <c r="C14" i="4"/>
  <c r="I15" i="4"/>
  <c r="F15" i="4"/>
  <c r="D15" i="4"/>
  <c r="I14" i="4"/>
  <c r="H13" i="4"/>
  <c r="G13" i="4"/>
  <c r="E13" i="4"/>
  <c r="D13" i="4"/>
  <c r="D14" i="4"/>
  <c r="E14" i="4" s="1"/>
  <c r="G14" i="4" s="1"/>
  <c r="H14" i="4" s="1"/>
  <c r="F14" i="4"/>
  <c r="C13" i="4"/>
  <c r="F13" i="4"/>
  <c r="C12" i="4"/>
  <c r="C11" i="4"/>
  <c r="I11" i="4" s="1"/>
  <c r="C10" i="4"/>
  <c r="C9" i="4"/>
  <c r="I9" i="4" s="1"/>
  <c r="C8" i="4"/>
  <c r="C7" i="4"/>
  <c r="I7" i="4" s="1"/>
  <c r="C6" i="4"/>
  <c r="C5" i="4"/>
  <c r="C4" i="4"/>
  <c r="C3" i="4"/>
  <c r="D4" i="4"/>
  <c r="E4" i="4" s="1"/>
  <c r="D5" i="4"/>
  <c r="D6" i="4"/>
  <c r="E6" i="4" s="1"/>
  <c r="D7" i="4"/>
  <c r="E7" i="4" s="1"/>
  <c r="D8" i="4"/>
  <c r="E8" i="4" s="1"/>
  <c r="G8" i="4" s="1"/>
  <c r="H8" i="4" s="1"/>
  <c r="D9" i="4"/>
  <c r="E9" i="4" s="1"/>
  <c r="D10" i="4"/>
  <c r="E10" i="4" s="1"/>
  <c r="D11" i="4"/>
  <c r="E11" i="4" s="1"/>
  <c r="D12" i="4"/>
  <c r="E12" i="4" s="1"/>
  <c r="D3" i="4"/>
  <c r="E3" i="4" s="1"/>
  <c r="I12" i="4"/>
  <c r="F12" i="4"/>
  <c r="F11" i="4"/>
  <c r="I10" i="4"/>
  <c r="F10" i="4"/>
  <c r="F9" i="4"/>
  <c r="I8" i="4"/>
  <c r="F8" i="4"/>
  <c r="F7" i="4"/>
  <c r="I6" i="4"/>
  <c r="F6" i="4"/>
  <c r="I5" i="4"/>
  <c r="F5" i="4"/>
  <c r="I4" i="4"/>
  <c r="F4" i="4"/>
  <c r="I3" i="4"/>
  <c r="F3" i="4"/>
  <c r="AN5" i="3"/>
  <c r="AN6" i="3"/>
  <c r="AN7" i="3"/>
  <c r="AN8" i="3"/>
  <c r="AN9" i="3"/>
  <c r="AN10" i="3"/>
  <c r="AN11" i="3"/>
  <c r="AN4" i="3"/>
  <c r="AO4" i="3" s="1"/>
  <c r="AM4" i="3"/>
  <c r="AK5" i="3"/>
  <c r="AK6" i="3"/>
  <c r="AK7" i="3"/>
  <c r="AK8" i="3"/>
  <c r="AK9" i="3"/>
  <c r="AK10" i="3"/>
  <c r="AK11" i="3"/>
  <c r="AK4" i="3"/>
  <c r="AM5" i="3"/>
  <c r="AM6" i="3"/>
  <c r="AO6" i="3" s="1"/>
  <c r="AM7" i="3"/>
  <c r="AM8" i="3"/>
  <c r="AM9" i="3"/>
  <c r="AM10" i="3"/>
  <c r="AM11" i="3"/>
  <c r="AO5" i="3"/>
  <c r="AO7" i="3"/>
  <c r="AO9" i="3"/>
  <c r="AO10" i="3"/>
  <c r="AO11" i="3"/>
  <c r="AL5" i="3"/>
  <c r="AL6" i="3"/>
  <c r="AL7" i="3"/>
  <c r="AL8" i="3"/>
  <c r="AL9" i="3"/>
  <c r="AL10" i="3"/>
  <c r="AL11" i="3"/>
  <c r="AL4" i="3"/>
  <c r="AF11" i="3"/>
  <c r="AG5" i="3"/>
  <c r="AG6" i="3"/>
  <c r="AG7" i="3"/>
  <c r="AJ7" i="3" s="1"/>
  <c r="AG8" i="3"/>
  <c r="AJ8" i="3" s="1"/>
  <c r="AG9" i="3"/>
  <c r="AG10" i="3"/>
  <c r="AG4" i="3"/>
  <c r="AF5" i="3"/>
  <c r="AF6" i="3"/>
  <c r="AF7" i="3"/>
  <c r="AF8" i="3"/>
  <c r="AF9" i="3"/>
  <c r="AF4" i="3"/>
  <c r="AE10" i="3"/>
  <c r="AE9" i="3"/>
  <c r="AE8" i="3"/>
  <c r="AE7" i="3"/>
  <c r="AE6" i="3"/>
  <c r="AE5" i="3"/>
  <c r="AE4" i="3"/>
  <c r="AB10" i="3"/>
  <c r="AB9" i="3"/>
  <c r="AB8" i="3"/>
  <c r="AB7" i="3"/>
  <c r="AB6" i="3"/>
  <c r="AB5" i="3"/>
  <c r="AB4" i="3"/>
  <c r="Y10" i="3"/>
  <c r="Y9" i="3"/>
  <c r="Y8" i="3"/>
  <c r="Y7" i="3"/>
  <c r="Y6" i="3"/>
  <c r="Y5" i="3"/>
  <c r="Y4" i="3"/>
  <c r="V10" i="3"/>
  <c r="V9" i="3"/>
  <c r="V8" i="3"/>
  <c r="V7" i="3"/>
  <c r="V6" i="3"/>
  <c r="V5" i="3"/>
  <c r="V4" i="3"/>
  <c r="S10" i="3"/>
  <c r="S9" i="3"/>
  <c r="S8" i="3"/>
  <c r="S7" i="3"/>
  <c r="S6" i="3"/>
  <c r="S5" i="3"/>
  <c r="S4" i="3"/>
  <c r="P10" i="3"/>
  <c r="P9" i="3"/>
  <c r="P8" i="3"/>
  <c r="P7" i="3"/>
  <c r="P6" i="3"/>
  <c r="P5" i="3"/>
  <c r="P4" i="3"/>
  <c r="M11" i="3"/>
  <c r="M10" i="3"/>
  <c r="M9" i="3"/>
  <c r="M8" i="3"/>
  <c r="M7" i="3"/>
  <c r="M6" i="3"/>
  <c r="M5" i="3"/>
  <c r="M4" i="3"/>
  <c r="J11" i="3"/>
  <c r="J10" i="3"/>
  <c r="J9" i="3"/>
  <c r="J8" i="3"/>
  <c r="J7" i="3"/>
  <c r="J6" i="3"/>
  <c r="J5" i="3"/>
  <c r="J4" i="3"/>
  <c r="G11" i="3"/>
  <c r="G10" i="3"/>
  <c r="G9" i="3"/>
  <c r="G8" i="3"/>
  <c r="G7" i="3"/>
  <c r="G6" i="3"/>
  <c r="G5" i="3"/>
  <c r="G4" i="3"/>
  <c r="D5" i="3"/>
  <c r="D6" i="3"/>
  <c r="D7" i="3"/>
  <c r="D8" i="3"/>
  <c r="D9" i="3"/>
  <c r="D10" i="3"/>
  <c r="D11" i="3"/>
  <c r="AJ5" i="3"/>
  <c r="AJ6" i="3"/>
  <c r="AJ9" i="3"/>
  <c r="AJ10" i="3"/>
  <c r="AJ4" i="3"/>
  <c r="AI5" i="3"/>
  <c r="AI6" i="3"/>
  <c r="AI7" i="3"/>
  <c r="AI8" i="3"/>
  <c r="AI9" i="3"/>
  <c r="AI10" i="3"/>
  <c r="AI11" i="3"/>
  <c r="AI4" i="3"/>
  <c r="D4" i="3"/>
  <c r="G15" i="4" l="1"/>
  <c r="H15" i="4" s="1"/>
  <c r="G4" i="4"/>
  <c r="H4" i="4" s="1"/>
  <c r="G12" i="4"/>
  <c r="H12" i="4" s="1"/>
  <c r="G3" i="4"/>
  <c r="H3" i="4" s="1"/>
  <c r="G7" i="4"/>
  <c r="H7" i="4" s="1"/>
  <c r="G11" i="4"/>
  <c r="H11" i="4" s="1"/>
  <c r="G9" i="4"/>
  <c r="H9" i="4" s="1"/>
  <c r="G5" i="4"/>
  <c r="H5" i="4" s="1"/>
  <c r="G6" i="4"/>
  <c r="H6" i="4" s="1"/>
  <c r="G10" i="4"/>
  <c r="H10" i="4" s="1"/>
  <c r="AO8" i="3"/>
  <c r="AG11" i="3"/>
  <c r="AJ11" i="3" s="1"/>
  <c r="AF10" i="3"/>
</calcChain>
</file>

<file path=xl/sharedStrings.xml><?xml version="1.0" encoding="utf-8"?>
<sst xmlns="http://schemas.openxmlformats.org/spreadsheetml/2006/main" count="90" uniqueCount="49">
  <si>
    <t>電流I[mA]</t>
    <rPh sb="0" eb="2">
      <t>デンリュウ</t>
    </rPh>
    <phoneticPr fontId="1"/>
  </si>
  <si>
    <t>１回目</t>
    <phoneticPr fontId="1"/>
  </si>
  <si>
    <t>２回目</t>
    <rPh sb="1" eb="2">
      <t>ニカイ</t>
    </rPh>
    <rPh sb="2" eb="3">
      <t xml:space="preserve">メ </t>
    </rPh>
    <phoneticPr fontId="1"/>
  </si>
  <si>
    <t>３回目</t>
    <rPh sb="1" eb="3">
      <t>サンカ</t>
    </rPh>
    <phoneticPr fontId="1"/>
  </si>
  <si>
    <t>４回目</t>
    <phoneticPr fontId="1"/>
  </si>
  <si>
    <t>５回目</t>
    <phoneticPr fontId="1"/>
  </si>
  <si>
    <t>６回目</t>
    <phoneticPr fontId="1"/>
  </si>
  <si>
    <t>７回目</t>
    <phoneticPr fontId="1"/>
  </si>
  <si>
    <t>８回目</t>
    <phoneticPr fontId="1"/>
  </si>
  <si>
    <t>９回目</t>
    <phoneticPr fontId="1"/>
  </si>
  <si>
    <t>１０回目</t>
    <phoneticPr fontId="1"/>
  </si>
  <si>
    <t>A側</t>
    <rPh sb="1" eb="2">
      <t>ガワ</t>
    </rPh>
    <phoneticPr fontId="1"/>
  </si>
  <si>
    <t>B側</t>
    <rPh sb="1" eb="2">
      <t>ガワ</t>
    </rPh>
    <phoneticPr fontId="1"/>
  </si>
  <si>
    <t>Hz</t>
    <phoneticPr fontId="1"/>
  </si>
  <si>
    <t>電流I[A]</t>
    <rPh sb="0" eb="2">
      <t>デンリュウ</t>
    </rPh>
    <phoneticPr fontId="1"/>
  </si>
  <si>
    <t>磁束Φ[Wb]</t>
    <rPh sb="0" eb="2">
      <t>ジソク</t>
    </rPh>
    <phoneticPr fontId="1"/>
  </si>
  <si>
    <t>磁界H[A/m]</t>
    <rPh sb="0" eb="2">
      <t>ジカイ</t>
    </rPh>
    <phoneticPr fontId="1"/>
  </si>
  <si>
    <t>磁束密度B[T]</t>
    <rPh sb="0" eb="4">
      <t>ジソク</t>
    </rPh>
    <phoneticPr fontId="1"/>
  </si>
  <si>
    <r>
      <t>透磁率μ</t>
    </r>
    <r>
      <rPr>
        <sz val="9"/>
        <color theme="1"/>
        <rFont val="游ゴシック (本文)"/>
        <family val="3"/>
        <charset val="128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</si>
  <si>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9"/>
        <color theme="1"/>
        <rFont val="游ゴシック (本文)"/>
        <family val="3"/>
        <charset val="128"/>
      </rPr>
      <t>s</t>
    </r>
    <rPh sb="0" eb="3">
      <t>ヒトウジリテゥ</t>
    </rPh>
    <phoneticPr fontId="1"/>
  </si>
  <si>
    <t>損失電力Wo[W]</t>
    <rPh sb="0" eb="4">
      <t>ソンシテゥ</t>
    </rPh>
    <phoneticPr fontId="1"/>
  </si>
  <si>
    <t>磁化電流Im[A]</t>
    <rPh sb="0" eb="4">
      <t>ジカデ</t>
    </rPh>
    <phoneticPr fontId="1"/>
  </si>
  <si>
    <t>磁界最大値Hm[A/m]</t>
    <rPh sb="0" eb="2">
      <t xml:space="preserve">ジカイ </t>
    </rPh>
    <rPh sb="2" eb="5">
      <t>ジカイ</t>
    </rPh>
    <phoneticPr fontId="1"/>
  </si>
  <si>
    <t>最大磁束密度Bm[T]</t>
    <rPh sb="0" eb="6">
      <t>サイダイ</t>
    </rPh>
    <phoneticPr fontId="1"/>
  </si>
  <si>
    <r>
      <t>透磁率μ</t>
    </r>
    <r>
      <rPr>
        <sz val="11"/>
        <color theme="1"/>
        <rFont val="游ゴシック (本文)"/>
        <family val="3"/>
        <charset val="128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</si>
  <si>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10"/>
        <color theme="1"/>
        <rFont val="游ゴシック (本文)"/>
        <family val="3"/>
        <charset val="128"/>
      </rPr>
      <t>s</t>
    </r>
    <rPh sb="0" eb="4">
      <t>ヒトウジリテゥ</t>
    </rPh>
    <phoneticPr fontId="1"/>
  </si>
  <si>
    <t>鉄損Wi[W/kg]</t>
    <rPh sb="0" eb="2">
      <t>テテゥ</t>
    </rPh>
    <phoneticPr fontId="1"/>
  </si>
  <si>
    <t>誘導起電力Eo[V]</t>
    <rPh sb="0" eb="2">
      <t>ユウドウキレンリョク</t>
    </rPh>
    <rPh sb="2" eb="5">
      <t>キデンリョク</t>
    </rPh>
    <phoneticPr fontId="1"/>
  </si>
  <si>
    <t>平均/2</t>
    <rPh sb="0" eb="2">
      <t>ヘイキ</t>
    </rPh>
    <phoneticPr fontId="1"/>
  </si>
  <si>
    <t>平均</t>
    <rPh sb="0" eb="2">
      <t xml:space="preserve">ヘイキン </t>
    </rPh>
    <phoneticPr fontId="1"/>
  </si>
  <si>
    <t>和</t>
  </si>
  <si>
    <t>和</t>
    <rPh sb="0" eb="1">
      <t xml:space="preserve">ワ </t>
    </rPh>
    <phoneticPr fontId="1"/>
  </si>
  <si>
    <t>平均[mWb]</t>
    <rPh sb="0" eb="2">
      <t xml:space="preserve">ヘイキン </t>
    </rPh>
    <phoneticPr fontId="1"/>
  </si>
  <si>
    <t>f=</t>
    <phoneticPr fontId="1"/>
  </si>
  <si>
    <t>励磁電流I0[mA]</t>
    <rPh sb="0" eb="4">
      <t>レイジデンリュウ</t>
    </rPh>
    <phoneticPr fontId="1"/>
  </si>
  <si>
    <t>　　　　　　　　　　　　</t>
    <phoneticPr fontId="1"/>
  </si>
  <si>
    <t>磁束の読み[mWb]</t>
    <rPh sb="0" eb="2">
      <t>ジソク</t>
    </rPh>
    <rPh sb="3" eb="4">
      <t>ヨミ</t>
    </rPh>
    <phoneticPr fontId="1"/>
  </si>
  <si>
    <t>jh</t>
    <phoneticPr fontId="1"/>
  </si>
  <si>
    <t>K1</t>
    <phoneticPr fontId="1"/>
  </si>
  <si>
    <t>K2</t>
    <phoneticPr fontId="1"/>
  </si>
  <si>
    <t>f1</t>
    <phoneticPr fontId="1"/>
  </si>
  <si>
    <t>f2</t>
    <phoneticPr fontId="1"/>
  </si>
  <si>
    <t>w1</t>
    <phoneticPr fontId="1"/>
  </si>
  <si>
    <t>w2</t>
    <phoneticPr fontId="1"/>
  </si>
  <si>
    <t>K1</t>
    <phoneticPr fontId="1"/>
  </si>
  <si>
    <t>K2</t>
    <phoneticPr fontId="1"/>
  </si>
  <si>
    <t>K1分子</t>
    <rPh sb="2" eb="4">
      <t>ブンシ</t>
    </rPh>
    <phoneticPr fontId="1"/>
  </si>
  <si>
    <t>K2分子</t>
    <rPh sb="2" eb="4">
      <t>ブンシ</t>
    </rPh>
    <phoneticPr fontId="1"/>
  </si>
  <si>
    <t>分母</t>
    <rPh sb="0" eb="2">
      <t>ブンボ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</si>
</sst>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0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  <font>
      <sz val="10"/>
      <color theme="1"/>
      <name val="游ゴシック (本文)"/>
      <family val="3"/>
      <charset val="128"/>
    </font>
    <font>
      <sz val="9"/>
      <color theme="1"/>
      <name val="游ゴシック (本文)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2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1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'4.1'!$AM$3</c:f>
              <c:strCache>
                <c:ptCount val="1"/>
                <c:pt idx="0">
                  <c:v>磁束密度B[T]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'4.1'!$AM$4:$AM$11</c:f>
              <c:numCache>
                <c:formatCode>0.000</c:formatCode>
                <c:ptCount val="8"/>
                <c:pt idx="0">
                  <c:v>0.53049999999999997</c:v>
                </c:pt>
                <c:pt idx="1">
                  <c:v>0.67876666666666674</c:v>
                </c:pt>
                <c:pt idx="2">
                  <c:v>0.70136666666666669</c:v>
                </c:pt>
                <c:pt idx="3">
                  <c:v>0.70003333333333329</c:v>
                </c:pt>
                <c:pt idx="4">
                  <c:v>0.94656666666666667</c:v>
                </c:pt>
                <c:pt idx="5">
                  <c:v>1.1045666666666665</c:v>
                </c:pt>
                <c:pt idx="6">
                  <c:v>1.1108999999999998</c:v>
                </c:pt>
                <c:pt idx="7">
                  <c:v>1.2494444444444444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83183"/>
        <c:axId val="530874927"/>
      </c:scatterChart>
      <c:scatterChart>
        <c:scatterStyle val="lineMarker"/>
        <c:varyColors val="0"/>
        <c:ser>
          <c:idx val="1"/>
          <c:order val="1"/>
          <c:tx>
            <c:strRef>
              <c:f>'4.1'!$AO$3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'4.1'!$AO$4:$AO$11</c:f>
              <c:numCache>
                <c:formatCode>0.00</c:formatCode>
                <c:ptCount val="8"/>
                <c:pt idx="0">
                  <c:v>16886.339462050095</c:v>
                </c:pt>
                <c:pt idx="1">
                  <c:v>10802.907020600884</c:v>
                </c:pt>
                <c:pt idx="2">
                  <c:v>7441.7314613257104</c:v>
                </c:pt>
                <c:pt idx="3">
                  <c:v>5570.688266454823</c:v>
                </c:pt>
                <c:pt idx="4">
                  <c:v>5021.6921322006128</c:v>
                </c:pt>
                <c:pt idx="5">
                  <c:v>4394.9311243634456</c:v>
                </c:pt>
                <c:pt idx="6">
                  <c:v>3536.1045256157299</c:v>
                </c:pt>
                <c:pt idx="7">
                  <c:v>3314.2543242006723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72719"/>
        <c:axId val="506621615"/>
      </c:scatterChart>
      <c:valAx>
        <c:axId val="5308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</a:t>
                </a:r>
                <a:r>
                  <a:rPr lang="en-US" altLang="ja-JP"/>
                  <a:t>H[A/m]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74927"/>
        <c:crosses val="autoZero"/>
        <c:crossBetween val="midCat"/>
      </c:valAx>
      <c:valAx>
        <c:axId val="5308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/>
                  <a:t> </a:t>
                </a:r>
                <a:r>
                  <a:rPr lang="ja-JP" altLang="en-US"/>
                  <a:t>磁束密度</a:t>
                </a:r>
                <a:r>
                  <a:rPr lang="en-US" altLang="ja-JP"/>
                  <a:t>B[T]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83183"/>
        <c:crosses val="autoZero"/>
        <c:crossBetween val="midCat"/>
      </c:valAx>
      <c:valAx>
        <c:axId val="50662161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672719"/>
        <c:crosses val="max"/>
        <c:crossBetween val="midCat"/>
      </c:valAx>
      <c:valAx>
        <c:axId val="5106727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06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527401179043"/>
          <c:y val="3.9419503370692034E-2"/>
          <c:w val="0.78689278980366317"/>
          <c:h val="0.8172012765787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'4.2'!$F$2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'4.2'!$E$3:$E$15</c:f>
              <c:numCache>
                <c:formatCode>General</c:formatCode>
                <c:ptCount val="13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  <c:pt idx="12">
                  <c:v>3.3748278192994315E-2</c:v>
                </c:pt>
              </c:numCache>
            </c:numRef>
          </c:xVal>
          <c:yVal>
            <c:numRef>
              <c:f>'4.2'!$F$3:$F$15</c:f>
              <c:numCache>
                <c:formatCode>General</c:formatCode>
                <c:ptCount val="13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  <c:pt idx="12">
                  <c:v>5.3931482502911062E-5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'4.2'!$H$2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'4.2'!$E$3:$E$14</c:f>
              <c:numCache>
                <c:formatCode>General</c:formatCode>
                <c:ptCount val="12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</c:numCache>
            </c:numRef>
          </c:xVal>
          <c:yVal>
            <c:numRef>
              <c:f>'4.2'!$H$3:$H$14</c:f>
              <c:numCache>
                <c:formatCode>General</c:formatCode>
                <c:ptCount val="12"/>
                <c:pt idx="0">
                  <c:v>288.51490258933615</c:v>
                </c:pt>
                <c:pt idx="1">
                  <c:v>315.07032507286505</c:v>
                </c:pt>
                <c:pt idx="2">
                  <c:v>350.87015015601554</c:v>
                </c:pt>
                <c:pt idx="3">
                  <c:v>402.58992242150697</c:v>
                </c:pt>
                <c:pt idx="4">
                  <c:v>467.31125033847513</c:v>
                </c:pt>
                <c:pt idx="5">
                  <c:v>555.55019367242721</c:v>
                </c:pt>
                <c:pt idx="6">
                  <c:v>689.44827335735658</c:v>
                </c:pt>
                <c:pt idx="7">
                  <c:v>889.95141573142268</c:v>
                </c:pt>
                <c:pt idx="8">
                  <c:v>1202.0023301580588</c:v>
                </c:pt>
                <c:pt idx="9">
                  <c:v>1269.9068943149339</c:v>
                </c:pt>
                <c:pt idx="10">
                  <c:v>1242.6093000918509</c:v>
                </c:pt>
                <c:pt idx="11">
                  <c:v>781.33739718160746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磁界最大値</a:t>
                </a:r>
                <a:r>
                  <a:rPr lang="en" altLang="ja-JP"/>
                  <a:t>Hm[A/m]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  <c:max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比透磁率</a:t>
                </a:r>
                <a:r>
                  <a:rPr lang="el-GR" altLang="ja-JP"/>
                  <a:t>μ</a:t>
                </a:r>
                <a:r>
                  <a:rPr lang="en" altLang="ja-JP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764102657859649"/>
          <c:y val="4.1930060064445919E-2"/>
          <c:w val="0.20201350066914703"/>
          <c:h val="0.11951273441270691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4540607064242"/>
          <c:y val="3.9260971924048989E-2"/>
          <c:w val="0.85426869834680186"/>
          <c:h val="0.78612297480693405"/>
        </c:manualLayout>
      </c:layout>
      <c:scatterChart>
        <c:scatterStyle val="lineMarker"/>
        <c:varyColors val="0"/>
        <c:ser>
          <c:idx val="0"/>
          <c:order val="0"/>
          <c:tx>
            <c:v>50Hz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'4.2'!$F$3:$F$14</c:f>
              <c:numCache>
                <c:formatCode>General</c:formatCode>
                <c:ptCount val="12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</c:numCache>
            </c:numRef>
          </c:xVal>
          <c:yVal>
            <c:numRef>
              <c:f>'4.2'!$I$3:$I$14</c:f>
              <c:numCache>
                <c:formatCode>General</c:formatCode>
                <c:ptCount val="12"/>
                <c:pt idx="0">
                  <c:v>1.1029630102040815</c:v>
                </c:pt>
                <c:pt idx="1">
                  <c:v>1.0644028253096112</c:v>
                </c:pt>
                <c:pt idx="2">
                  <c:v>1.0249534815977674</c:v>
                </c:pt>
                <c:pt idx="3">
                  <c:v>0.98709397828362111</c:v>
                </c:pt>
                <c:pt idx="4">
                  <c:v>0.94995086298622</c:v>
                </c:pt>
                <c:pt idx="5">
                  <c:v>0.87065951465201474</c:v>
                </c:pt>
                <c:pt idx="6">
                  <c:v>0.79651376940519791</c:v>
                </c:pt>
                <c:pt idx="7">
                  <c:v>0.64531658817373105</c:v>
                </c:pt>
                <c:pt idx="8">
                  <c:v>0.42716493214285717</c:v>
                </c:pt>
                <c:pt idx="9">
                  <c:v>0.24225031410692482</c:v>
                </c:pt>
                <c:pt idx="10">
                  <c:v>0</c:v>
                </c:pt>
                <c:pt idx="11">
                  <c:v>4.8974086691086702E-3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5-5B4A-8E38-47A702490A2C}"/>
            </c:ext>
          </c:extLst>
        </c:ser>
        <c:ser>
          <c:idx val="1"/>
          <c:order val="1"/>
          <c:tx>
            <c:v>60Hz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'4.2'!$F$20:$F$31</c:f>
              <c:numCache>
                <c:formatCode>General</c:formatCode>
                <c:ptCount val="12"/>
                <c:pt idx="0">
                  <c:v>0.118485833</c:v>
                </c:pt>
                <c:pt idx="1">
                  <c:v>0.117260117</c:v>
                </c:pt>
                <c:pt idx="2">
                  <c:v>0.11603440199999999</c:v>
                </c:pt>
                <c:pt idx="3">
                  <c:v>0.114400114</c:v>
                </c:pt>
                <c:pt idx="4">
                  <c:v>0.112357255</c:v>
                </c:pt>
                <c:pt idx="5">
                  <c:v>0.109497252</c:v>
                </c:pt>
                <c:pt idx="6">
                  <c:v>0.105411534</c:v>
                </c:pt>
                <c:pt idx="7">
                  <c:v>9.6831525000000002E-2</c:v>
                </c:pt>
                <c:pt idx="8">
                  <c:v>7.8895222000000001E-2</c:v>
                </c:pt>
                <c:pt idx="9">
                  <c:v>6.3001776999999995E-2</c:v>
                </c:pt>
                <c:pt idx="10">
                  <c:v>4.0877612000000001E-2</c:v>
                </c:pt>
                <c:pt idx="11">
                  <c:v>1.523973E-2</c:v>
                </c:pt>
              </c:numCache>
            </c:numRef>
          </c:xVal>
          <c:yVal>
            <c:numRef>
              <c:f>'4.2'!$I$20:$I$31</c:f>
              <c:numCache>
                <c:formatCode>General</c:formatCode>
                <c:ptCount val="12"/>
                <c:pt idx="0">
                  <c:v>1.450751613</c:v>
                </c:pt>
                <c:pt idx="1">
                  <c:v>1.37830042</c:v>
                </c:pt>
                <c:pt idx="2">
                  <c:v>1.314507839</c:v>
                </c:pt>
                <c:pt idx="3">
                  <c:v>1.28749625</c:v>
                </c:pt>
                <c:pt idx="4">
                  <c:v>1.21868895</c:v>
                </c:pt>
                <c:pt idx="5">
                  <c:v>1.127298406</c:v>
                </c:pt>
                <c:pt idx="6">
                  <c:v>0.99739305099999997</c:v>
                </c:pt>
                <c:pt idx="7">
                  <c:v>0.80691754900000001</c:v>
                </c:pt>
                <c:pt idx="8">
                  <c:v>0.489076387</c:v>
                </c:pt>
                <c:pt idx="9">
                  <c:v>0.30947312500000002</c:v>
                </c:pt>
                <c:pt idx="10">
                  <c:v>0.130769205</c:v>
                </c:pt>
                <c:pt idx="11">
                  <c:v>3.8653910000000001E-3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5-5B4A-8E38-47A70249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367226167026643"/>
              <c:y val="0.9086284487194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鉄損</a:t>
                </a:r>
                <a:r>
                  <a:rPr lang="en" altLang="ja-JP"/>
                  <a:t>Wi[W/kg]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0718158589312"/>
          <c:y val="5.4298177104923483E-2"/>
          <c:w val="7.5123818150623328E-2"/>
          <c:h val="0.12046064333472636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527401179043"/>
          <c:y val="3.9419503370692034E-2"/>
          <c:w val="0.78689278980366317"/>
          <c:h val="0.81798424154156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'4.2'!$F$19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'4.2'!$E$20:$E$32</c:f>
              <c:numCache>
                <c:formatCode>General</c:formatCode>
                <c:ptCount val="13"/>
                <c:pt idx="0">
                  <c:v>328.44424609999999</c:v>
                </c:pt>
                <c:pt idx="1">
                  <c:v>294.47946000000002</c:v>
                </c:pt>
                <c:pt idx="2">
                  <c:v>260.42363519999998</c:v>
                </c:pt>
                <c:pt idx="3">
                  <c:v>225.26165399999999</c:v>
                </c:pt>
                <c:pt idx="4">
                  <c:v>190.29335209999999</c:v>
                </c:pt>
                <c:pt idx="5">
                  <c:v>155.161689</c:v>
                </c:pt>
                <c:pt idx="6">
                  <c:v>120.433449</c:v>
                </c:pt>
                <c:pt idx="7">
                  <c:v>85.269598869999996</c:v>
                </c:pt>
                <c:pt idx="8">
                  <c:v>53.337898279999997</c:v>
                </c:pt>
                <c:pt idx="9">
                  <c:v>38.534162289999998</c:v>
                </c:pt>
                <c:pt idx="10">
                  <c:v>26.125825809999998</c:v>
                </c:pt>
                <c:pt idx="11">
                  <c:v>16.602431289999998</c:v>
                </c:pt>
                <c:pt idx="12">
                  <c:v>2.2498852E-2</c:v>
                </c:pt>
              </c:numCache>
            </c:numRef>
          </c:xVal>
          <c:yVal>
            <c:numRef>
              <c:f>'4.2'!$F$20:$F$32</c:f>
              <c:numCache>
                <c:formatCode>General</c:formatCode>
                <c:ptCount val="13"/>
                <c:pt idx="0">
                  <c:v>0.118485833</c:v>
                </c:pt>
                <c:pt idx="1">
                  <c:v>0.117260117</c:v>
                </c:pt>
                <c:pt idx="2">
                  <c:v>0.11603440199999999</c:v>
                </c:pt>
                <c:pt idx="3">
                  <c:v>0.114400114</c:v>
                </c:pt>
                <c:pt idx="4">
                  <c:v>0.112357255</c:v>
                </c:pt>
                <c:pt idx="5">
                  <c:v>0.109497252</c:v>
                </c:pt>
                <c:pt idx="6">
                  <c:v>0.105411534</c:v>
                </c:pt>
                <c:pt idx="7">
                  <c:v>9.6831525000000002E-2</c:v>
                </c:pt>
                <c:pt idx="8">
                  <c:v>7.8895222000000001E-2</c:v>
                </c:pt>
                <c:pt idx="9">
                  <c:v>6.3001776999999995E-2</c:v>
                </c:pt>
                <c:pt idx="10">
                  <c:v>4.0877612000000001E-2</c:v>
                </c:pt>
                <c:pt idx="11">
                  <c:v>1.523973E-2</c:v>
                </c:pt>
                <c:pt idx="12" formatCode="0.00E+00">
                  <c:v>4.69858E-5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A-7A47-A388-35F15802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'4.2'!$H$19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'4.2'!$E$20:$E$31</c:f>
              <c:numCache>
                <c:formatCode>General</c:formatCode>
                <c:ptCount val="12"/>
                <c:pt idx="0">
                  <c:v>328.44424609999999</c:v>
                </c:pt>
                <c:pt idx="1">
                  <c:v>294.47946000000002</c:v>
                </c:pt>
                <c:pt idx="2">
                  <c:v>260.42363519999998</c:v>
                </c:pt>
                <c:pt idx="3">
                  <c:v>225.26165399999999</c:v>
                </c:pt>
                <c:pt idx="4">
                  <c:v>190.29335209999999</c:v>
                </c:pt>
                <c:pt idx="5">
                  <c:v>155.161689</c:v>
                </c:pt>
                <c:pt idx="6">
                  <c:v>120.433449</c:v>
                </c:pt>
                <c:pt idx="7">
                  <c:v>85.269598869999996</c:v>
                </c:pt>
                <c:pt idx="8">
                  <c:v>53.337898279999997</c:v>
                </c:pt>
                <c:pt idx="9">
                  <c:v>38.534162289999998</c:v>
                </c:pt>
                <c:pt idx="10">
                  <c:v>26.125825809999998</c:v>
                </c:pt>
                <c:pt idx="11">
                  <c:v>16.602431289999998</c:v>
                </c:pt>
              </c:numCache>
            </c:numRef>
          </c:xVal>
          <c:yVal>
            <c:numRef>
              <c:f>'4.2'!$H$20:$H$31</c:f>
              <c:numCache>
                <c:formatCode>General</c:formatCode>
                <c:ptCount val="12"/>
                <c:pt idx="0">
                  <c:v>287.07468920000002</c:v>
                </c:pt>
                <c:pt idx="1">
                  <c:v>316.87315799999999</c:v>
                </c:pt>
                <c:pt idx="2">
                  <c:v>354.56552529999999</c:v>
                </c:pt>
                <c:pt idx="3">
                  <c:v>404.13766329999999</c:v>
                </c:pt>
                <c:pt idx="4">
                  <c:v>469.85909809999998</c:v>
                </c:pt>
                <c:pt idx="5">
                  <c:v>561.57641369999999</c:v>
                </c:pt>
                <c:pt idx="6">
                  <c:v>696.516077</c:v>
                </c:pt>
                <c:pt idx="7">
                  <c:v>903.67587739999999</c:v>
                </c:pt>
                <c:pt idx="8">
                  <c:v>1177.0771749999999</c:v>
                </c:pt>
                <c:pt idx="9">
                  <c:v>1301.0590709999999</c:v>
                </c:pt>
                <c:pt idx="10">
                  <c:v>1245.1040029999999</c:v>
                </c:pt>
                <c:pt idx="11">
                  <c:v>730.45876299999998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A-7A47-A388-35F15802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磁界最大値</a:t>
                </a:r>
                <a:r>
                  <a:rPr lang="en" altLang="ja-JP"/>
                  <a:t>Hm[A/m]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最大磁束密度</a:t>
                </a:r>
                <a:r>
                  <a:rPr lang="en" altLang="ja-JP"/>
                  <a:t>Bm[T]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  <c:max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比透磁率</a:t>
                </a:r>
                <a:r>
                  <a:rPr lang="el-GR" altLang="ja-JP"/>
                  <a:t>μ</a:t>
                </a:r>
                <a:r>
                  <a:rPr lang="en" altLang="ja-JP"/>
                  <a:t>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764102657859649"/>
          <c:y val="4.1930060064445919E-2"/>
          <c:w val="0.20316410536245899"/>
          <c:h val="0.1209840560430636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10672</xdr:colOff>
      <xdr:row>15</xdr:row>
      <xdr:rowOff>251529</xdr:rowOff>
    </xdr:from>
    <xdr:to>
      <xdr:col>41</xdr:col>
      <xdr:colOff>0</xdr:colOff>
      <xdr:row>31</xdr:row>
      <xdr:rowOff>10672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21538-16D6-3F40-B1F4-820A4E52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580037</xdr:colOff>
      <xdr:row>0</xdr:row>
      <xdr:rowOff>157415</xdr:rowOff>
    </xdr:from>
    <xdr:to>
      <xdr:col>15</xdr:col>
      <xdr:colOff>598714</xdr:colOff>
      <xdr:row>14</xdr:row>
      <xdr:rowOff>159656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36412E-803D-A440-BA67-00F625D1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16</xdr:col>
      <xdr:colOff>18677</xdr:colOff>
      <xdr:row>49</xdr:row>
      <xdr:rowOff>2241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6A02E8-CB11-3649-AF9E-2D8BA3F6E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435429</xdr:colOff>
      <xdr:row>18</xdr:row>
      <xdr:rowOff>54429</xdr:rowOff>
    </xdr:from>
    <xdr:to>
      <xdr:col>15</xdr:col>
      <xdr:colOff>454106</xdr:colOff>
      <xdr:row>32</xdr:row>
      <xdr:rowOff>56670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15FC983-5DDA-BA4A-83F6-059EBAFA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8CCF-90B9-A442-880C-CDD6E17304AF}">
  <dimension ref="A1:AS15"/>
  <sheetViews>
    <sheetView zoomScale="70" zoomScaleNormal="70" workbookViewId="0">
      <selection activeCell="T18" sqref="T18"/>
    </sheetView>
  </sheetViews>
  <sheetFormatPr defaultColWidth="11.5546875" defaultRowHeight="19.5"/>
  <cols>
    <col min="2" max="31" width="7" bestFit="1" customWidth="1"/>
    <col min="32" max="33" width="12.6640625" bestFit="1" customWidth="1"/>
    <col min="35" max="35" width="8.109375" bestFit="1" customWidth="1"/>
    <col min="36" max="36" width="10.5546875" bestFit="1" customWidth="1"/>
    <col min="37" max="37" width="10.6640625" bestFit="1" customWidth="1"/>
    <col min="38" max="38" width="11.109375" bestFit="1" customWidth="1"/>
    <col min="39" max="39" width="12.109375" bestFit="1" customWidth="1"/>
    <col min="40" max="40" width="14.44140625" bestFit="1" customWidth="1"/>
    <col min="41" max="41" width="13.33203125" bestFit="1" customWidth="1"/>
  </cols>
  <sheetData>
    <row r="1" spans="1:45">
      <c r="A1" s="13" t="s">
        <v>0</v>
      </c>
      <c r="B1" s="17" t="s">
        <v>36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45" ht="20.25" thickBot="1">
      <c r="A2" s="14"/>
      <c r="B2" s="16" t="s">
        <v>1</v>
      </c>
      <c r="C2" s="16"/>
      <c r="D2" s="16"/>
      <c r="E2" s="16" t="s">
        <v>2</v>
      </c>
      <c r="F2" s="16"/>
      <c r="G2" s="16"/>
      <c r="H2" s="16" t="s">
        <v>3</v>
      </c>
      <c r="I2" s="16"/>
      <c r="J2" s="16"/>
      <c r="K2" s="16" t="s">
        <v>4</v>
      </c>
      <c r="L2" s="16"/>
      <c r="M2" s="16"/>
      <c r="N2" s="16" t="s">
        <v>5</v>
      </c>
      <c r="O2" s="16"/>
      <c r="P2" s="16"/>
      <c r="Q2" s="16" t="s">
        <v>6</v>
      </c>
      <c r="R2" s="16"/>
      <c r="S2" s="16"/>
      <c r="T2" s="16" t="s">
        <v>7</v>
      </c>
      <c r="U2" s="16"/>
      <c r="V2" s="16"/>
      <c r="W2" s="16" t="s">
        <v>8</v>
      </c>
      <c r="X2" s="16"/>
      <c r="Y2" s="16"/>
      <c r="Z2" s="16" t="s">
        <v>9</v>
      </c>
      <c r="AA2" s="16"/>
      <c r="AB2" s="16"/>
      <c r="AC2" s="16" t="s">
        <v>10</v>
      </c>
      <c r="AD2" s="16"/>
      <c r="AE2" s="16"/>
      <c r="AF2" s="14" t="s">
        <v>29</v>
      </c>
      <c r="AG2" s="14" t="s">
        <v>28</v>
      </c>
      <c r="AI2" s="6"/>
      <c r="AJ2" s="6"/>
      <c r="AK2" s="6"/>
      <c r="AL2" s="6"/>
      <c r="AM2" s="6"/>
      <c r="AN2" s="6"/>
      <c r="AO2" s="6"/>
    </row>
    <row r="3" spans="1:45" ht="20.25" thickBot="1">
      <c r="A3" s="15"/>
      <c r="B3" s="6" t="s">
        <v>11</v>
      </c>
      <c r="C3" s="6" t="s">
        <v>12</v>
      </c>
      <c r="D3" s="6" t="s">
        <v>31</v>
      </c>
      <c r="E3" s="6" t="s">
        <v>11</v>
      </c>
      <c r="F3" s="6" t="s">
        <v>12</v>
      </c>
      <c r="G3" s="6" t="s">
        <v>31</v>
      </c>
      <c r="H3" s="6" t="s">
        <v>11</v>
      </c>
      <c r="I3" s="6" t="s">
        <v>12</v>
      </c>
      <c r="J3" s="6" t="s">
        <v>31</v>
      </c>
      <c r="K3" s="6" t="s">
        <v>11</v>
      </c>
      <c r="L3" s="6" t="s">
        <v>12</v>
      </c>
      <c r="M3" s="6" t="s">
        <v>31</v>
      </c>
      <c r="N3" s="6" t="s">
        <v>11</v>
      </c>
      <c r="O3" s="6" t="s">
        <v>12</v>
      </c>
      <c r="P3" s="6" t="s">
        <v>31</v>
      </c>
      <c r="Q3" s="6" t="s">
        <v>11</v>
      </c>
      <c r="R3" s="6" t="s">
        <v>12</v>
      </c>
      <c r="S3" s="6" t="s">
        <v>31</v>
      </c>
      <c r="T3" s="6" t="s">
        <v>11</v>
      </c>
      <c r="U3" s="6" t="s">
        <v>12</v>
      </c>
      <c r="V3" s="7" t="s">
        <v>30</v>
      </c>
      <c r="W3" s="6" t="s">
        <v>11</v>
      </c>
      <c r="X3" s="6" t="s">
        <v>12</v>
      </c>
      <c r="Y3" s="7" t="s">
        <v>30</v>
      </c>
      <c r="Z3" s="6" t="s">
        <v>11</v>
      </c>
      <c r="AA3" s="6" t="s">
        <v>12</v>
      </c>
      <c r="AB3" s="7" t="s">
        <v>30</v>
      </c>
      <c r="AC3" s="6" t="s">
        <v>11</v>
      </c>
      <c r="AD3" s="6" t="s">
        <v>12</v>
      </c>
      <c r="AE3" s="7" t="s">
        <v>30</v>
      </c>
      <c r="AF3" s="15"/>
      <c r="AG3" s="15"/>
      <c r="AI3" s="6" t="s">
        <v>14</v>
      </c>
      <c r="AJ3" s="7" t="s">
        <v>32</v>
      </c>
      <c r="AK3" s="6" t="s">
        <v>15</v>
      </c>
      <c r="AL3" s="6" t="s">
        <v>16</v>
      </c>
      <c r="AM3" s="6" t="s">
        <v>17</v>
      </c>
      <c r="AN3" s="6" t="s">
        <v>18</v>
      </c>
      <c r="AO3" s="6" t="s">
        <v>19</v>
      </c>
      <c r="AQ3" s="6" t="s">
        <v>17</v>
      </c>
      <c r="AR3" s="18" t="s">
        <v>38</v>
      </c>
      <c r="AS3" s="18" t="s">
        <v>39</v>
      </c>
    </row>
    <row r="4" spans="1:45">
      <c r="A4" s="5">
        <v>50</v>
      </c>
      <c r="B4" s="5">
        <v>4.28</v>
      </c>
      <c r="C4" s="5">
        <v>8.8699999999999992</v>
      </c>
      <c r="D4" s="5">
        <f>B4+C4</f>
        <v>13.149999999999999</v>
      </c>
      <c r="E4" s="5">
        <v>7.29</v>
      </c>
      <c r="F4" s="5">
        <v>8.85</v>
      </c>
      <c r="G4" s="5">
        <f>E4+F4</f>
        <v>16.14</v>
      </c>
      <c r="H4" s="5">
        <v>7.37</v>
      </c>
      <c r="I4" s="5">
        <v>8.85</v>
      </c>
      <c r="J4" s="5">
        <f>H4+I4</f>
        <v>16.22</v>
      </c>
      <c r="K4" s="5">
        <v>7.4</v>
      </c>
      <c r="L4" s="5">
        <v>8.85</v>
      </c>
      <c r="M4" s="5">
        <f>K4+L4</f>
        <v>16.25</v>
      </c>
      <c r="N4" s="5">
        <v>7.41</v>
      </c>
      <c r="O4" s="5">
        <v>8.85</v>
      </c>
      <c r="P4" s="5">
        <f>N4+O4</f>
        <v>16.259999999999998</v>
      </c>
      <c r="Q4" s="5">
        <v>7.41</v>
      </c>
      <c r="R4" s="5">
        <v>8.84</v>
      </c>
      <c r="S4" s="5">
        <f>Q4+R4</f>
        <v>16.25</v>
      </c>
      <c r="T4" s="5">
        <v>7.41</v>
      </c>
      <c r="U4" s="5">
        <v>8.83</v>
      </c>
      <c r="V4" s="5">
        <f>T4+U4</f>
        <v>16.240000000000002</v>
      </c>
      <c r="W4" s="5">
        <v>7.4</v>
      </c>
      <c r="X4" s="5">
        <v>8.82</v>
      </c>
      <c r="Y4" s="5">
        <f>W4+X4</f>
        <v>16.22</v>
      </c>
      <c r="Z4" s="5">
        <v>7.4</v>
      </c>
      <c r="AA4" s="5">
        <v>8.82</v>
      </c>
      <c r="AB4" s="5">
        <f>Z4+AA4</f>
        <v>16.22</v>
      </c>
      <c r="AC4" s="5">
        <v>7.39</v>
      </c>
      <c r="AD4" s="5">
        <v>8.81</v>
      </c>
      <c r="AE4" s="5">
        <f>AC4+AD4</f>
        <v>16.2</v>
      </c>
      <c r="AF4" s="5">
        <f>AVERAGE(D4,G4,J4,M4,P4,S4,V4,Y4,AB4,AE4)</f>
        <v>15.914999999999997</v>
      </c>
      <c r="AG4" s="5">
        <f>AF4/2</f>
        <v>7.9574999999999987</v>
      </c>
      <c r="AI4" s="2">
        <f t="shared" ref="AI4:AI11" si="0">A4*10^-3</f>
        <v>0.05</v>
      </c>
      <c r="AJ4" s="2">
        <f t="shared" ref="AJ4:AJ11" si="1">AG4</f>
        <v>7.9574999999999987</v>
      </c>
      <c r="AK4" s="4">
        <f>AJ4*10^-3/25</f>
        <v>3.1829999999999998E-4</v>
      </c>
      <c r="AL4" s="2">
        <f>AI4*160/0.32</f>
        <v>25</v>
      </c>
      <c r="AM4" s="1">
        <f>AK4/((30*10^-3)*(20*10^-3))</f>
        <v>0.53049999999999997</v>
      </c>
      <c r="AN4" s="3">
        <f>AM4/AL4</f>
        <v>2.1219999999999999E-2</v>
      </c>
      <c r="AO4" s="2">
        <f>AN4/(4*PI()*10^-7)</f>
        <v>16886.339462050095</v>
      </c>
      <c r="AQ4" s="1">
        <f>AM4</f>
        <v>0.53049999999999997</v>
      </c>
    </row>
    <row r="5" spans="1:45">
      <c r="A5" s="5">
        <v>100</v>
      </c>
      <c r="B5" s="5">
        <v>5.49</v>
      </c>
      <c r="C5" s="5">
        <v>13.66</v>
      </c>
      <c r="D5" s="5">
        <f t="shared" ref="D5:D11" si="2">B5+C5</f>
        <v>19.149999999999999</v>
      </c>
      <c r="E5" s="5">
        <v>6.86</v>
      </c>
      <c r="F5" s="5">
        <v>13.53</v>
      </c>
      <c r="G5" s="5">
        <f t="shared" ref="G5:G11" si="3">E5+F5</f>
        <v>20.39</v>
      </c>
      <c r="H5" s="5">
        <v>7</v>
      </c>
      <c r="I5" s="5">
        <v>13.5</v>
      </c>
      <c r="J5" s="5">
        <f t="shared" ref="J5:J11" si="4">H5+I5</f>
        <v>20.5</v>
      </c>
      <c r="K5" s="5">
        <v>7.05</v>
      </c>
      <c r="L5" s="5">
        <v>13.46</v>
      </c>
      <c r="M5" s="5">
        <f t="shared" ref="M5:M11" si="5">K5+L5</f>
        <v>20.51</v>
      </c>
      <c r="N5" s="5">
        <v>7.08</v>
      </c>
      <c r="O5" s="5">
        <v>13.44</v>
      </c>
      <c r="P5" s="5">
        <f t="shared" ref="P5:P10" si="6">N5+O5</f>
        <v>20.52</v>
      </c>
      <c r="Q5" s="5">
        <v>7.08</v>
      </c>
      <c r="R5" s="5">
        <v>13.45</v>
      </c>
      <c r="S5" s="5">
        <f t="shared" ref="S5:S10" si="7">Q5+R5</f>
        <v>20.53</v>
      </c>
      <c r="T5" s="5">
        <v>7.08</v>
      </c>
      <c r="U5" s="5">
        <v>13.44</v>
      </c>
      <c r="V5" s="5">
        <f t="shared" ref="V5:V10" si="8">T5+U5</f>
        <v>20.52</v>
      </c>
      <c r="W5" s="5">
        <v>7.08</v>
      </c>
      <c r="X5" s="5">
        <v>13.44</v>
      </c>
      <c r="Y5" s="5">
        <f t="shared" ref="Y5:Y10" si="9">W5+X5</f>
        <v>20.52</v>
      </c>
      <c r="Z5" s="5">
        <v>7.07</v>
      </c>
      <c r="AA5" s="5">
        <v>13.43</v>
      </c>
      <c r="AB5" s="5">
        <f t="shared" ref="AB5:AB10" si="10">Z5+AA5</f>
        <v>20.5</v>
      </c>
      <c r="AC5" s="5">
        <v>7.07</v>
      </c>
      <c r="AD5" s="5">
        <v>13.42</v>
      </c>
      <c r="AE5" s="5">
        <f t="shared" ref="AE5:AE10" si="11">AC5+AD5</f>
        <v>20.490000000000002</v>
      </c>
      <c r="AF5" s="5">
        <f t="shared" ref="AF5:AF10" si="12">AVERAGE(D5,G5,J5,M5,P5,S5,V5,Y5,AB5,AE5)</f>
        <v>20.363000000000003</v>
      </c>
      <c r="AG5" s="5">
        <f t="shared" ref="AG5:AG11" si="13">AF5/2</f>
        <v>10.181500000000002</v>
      </c>
      <c r="AI5" s="2">
        <f t="shared" si="0"/>
        <v>0.1</v>
      </c>
      <c r="AJ5" s="2">
        <f t="shared" si="1"/>
        <v>10.181500000000002</v>
      </c>
      <c r="AK5" s="4">
        <f t="shared" ref="AK5:AK11" si="14">AJ5*10^-3/25</f>
        <v>4.0726000000000005E-4</v>
      </c>
      <c r="AL5" s="2">
        <f t="shared" ref="AL5:AL11" si="15">AI5*160/0.32</f>
        <v>50</v>
      </c>
      <c r="AM5" s="1">
        <f t="shared" ref="AM5:AM11" si="16">AJ5*(10^-3)/((30*10^-3)*(20*10^-3))/25</f>
        <v>0.67876666666666674</v>
      </c>
      <c r="AN5" s="3">
        <f t="shared" ref="AN5:AN11" si="17">AM5/AL5</f>
        <v>1.3575333333333335E-2</v>
      </c>
      <c r="AO5" s="2">
        <f t="shared" ref="AO5:AO11" si="18">AN5/(4*PI()*10^-7)</f>
        <v>10802.907020600884</v>
      </c>
      <c r="AQ5" s="1">
        <f>AM7</f>
        <v>0.70003333333333329</v>
      </c>
    </row>
    <row r="6" spans="1:45">
      <c r="A6" s="5">
        <v>150</v>
      </c>
      <c r="B6" s="5">
        <v>3.18</v>
      </c>
      <c r="C6" s="5">
        <v>17.77</v>
      </c>
      <c r="D6" s="5">
        <f t="shared" si="2"/>
        <v>20.95</v>
      </c>
      <c r="E6" s="5">
        <v>3.39</v>
      </c>
      <c r="F6" s="5">
        <v>17.68</v>
      </c>
      <c r="G6" s="5">
        <f t="shared" si="3"/>
        <v>21.07</v>
      </c>
      <c r="H6" s="5">
        <v>3.45</v>
      </c>
      <c r="I6" s="5">
        <v>17.63</v>
      </c>
      <c r="J6" s="5">
        <f t="shared" si="4"/>
        <v>21.08</v>
      </c>
      <c r="K6" s="5">
        <v>3.49</v>
      </c>
      <c r="L6" s="5">
        <v>17.600000000000001</v>
      </c>
      <c r="M6" s="5">
        <f t="shared" si="5"/>
        <v>21.090000000000003</v>
      </c>
      <c r="N6" s="5">
        <v>3.5</v>
      </c>
      <c r="O6" s="5">
        <v>17.600000000000001</v>
      </c>
      <c r="P6" s="5">
        <f t="shared" si="6"/>
        <v>21.1</v>
      </c>
      <c r="Q6" s="5">
        <v>3.51</v>
      </c>
      <c r="R6" s="5">
        <v>17.559999999999999</v>
      </c>
      <c r="S6" s="5">
        <f t="shared" si="7"/>
        <v>21.07</v>
      </c>
      <c r="T6" s="5">
        <v>3.5</v>
      </c>
      <c r="U6" s="5">
        <v>17.53</v>
      </c>
      <c r="V6" s="5">
        <f t="shared" si="8"/>
        <v>21.03</v>
      </c>
      <c r="W6" s="5">
        <v>3.51</v>
      </c>
      <c r="X6" s="5">
        <v>17.53</v>
      </c>
      <c r="Y6" s="5">
        <f t="shared" si="9"/>
        <v>21.04</v>
      </c>
      <c r="Z6" s="5">
        <v>3.51</v>
      </c>
      <c r="AA6" s="5">
        <v>17.5</v>
      </c>
      <c r="AB6" s="5">
        <f t="shared" si="10"/>
        <v>21.009999999999998</v>
      </c>
      <c r="AC6" s="5">
        <v>3.5</v>
      </c>
      <c r="AD6" s="5">
        <v>17.47</v>
      </c>
      <c r="AE6" s="5">
        <f t="shared" si="11"/>
        <v>20.97</v>
      </c>
      <c r="AF6" s="5">
        <f t="shared" si="12"/>
        <v>21.040999999999997</v>
      </c>
      <c r="AG6" s="5">
        <f t="shared" si="13"/>
        <v>10.520499999999998</v>
      </c>
      <c r="AI6" s="2">
        <f t="shared" si="0"/>
        <v>0.15</v>
      </c>
      <c r="AJ6" s="2">
        <f t="shared" si="1"/>
        <v>10.520499999999998</v>
      </c>
      <c r="AK6" s="4">
        <f t="shared" si="14"/>
        <v>4.2081999999999992E-4</v>
      </c>
      <c r="AL6" s="2">
        <f t="shared" si="15"/>
        <v>75</v>
      </c>
      <c r="AM6" s="1">
        <f t="shared" si="16"/>
        <v>0.70136666666666669</v>
      </c>
      <c r="AN6" s="3">
        <f t="shared" si="17"/>
        <v>9.3515555555555557E-3</v>
      </c>
      <c r="AO6" s="2">
        <f t="shared" si="18"/>
        <v>7441.7314613257104</v>
      </c>
      <c r="AQ6" s="1">
        <f>AM10</f>
        <v>1.1108999999999998</v>
      </c>
    </row>
    <row r="7" spans="1:45">
      <c r="A7" s="5">
        <v>200</v>
      </c>
      <c r="B7" s="5">
        <v>0.19</v>
      </c>
      <c r="C7" s="5">
        <v>20.55</v>
      </c>
      <c r="D7" s="5">
        <f t="shared" si="2"/>
        <v>20.740000000000002</v>
      </c>
      <c r="E7" s="5">
        <v>0.6</v>
      </c>
      <c r="F7" s="5">
        <v>20.52</v>
      </c>
      <c r="G7" s="5">
        <f t="shared" si="3"/>
        <v>21.12</v>
      </c>
      <c r="H7" s="5">
        <v>0.62</v>
      </c>
      <c r="I7" s="5">
        <v>20.47</v>
      </c>
      <c r="J7" s="5">
        <f t="shared" si="4"/>
        <v>21.09</v>
      </c>
      <c r="K7" s="5">
        <v>0.62</v>
      </c>
      <c r="L7" s="5">
        <v>20.43</v>
      </c>
      <c r="M7" s="5">
        <f t="shared" si="5"/>
        <v>21.05</v>
      </c>
      <c r="N7" s="5">
        <v>0.64</v>
      </c>
      <c r="O7" s="5">
        <v>20.39</v>
      </c>
      <c r="P7" s="5">
        <f t="shared" si="6"/>
        <v>21.03</v>
      </c>
      <c r="Q7" s="5">
        <v>0.68</v>
      </c>
      <c r="R7" s="5">
        <v>20.36</v>
      </c>
      <c r="S7" s="5">
        <f t="shared" si="7"/>
        <v>21.04</v>
      </c>
      <c r="T7" s="5">
        <v>0.69</v>
      </c>
      <c r="U7" s="5">
        <v>20.34</v>
      </c>
      <c r="V7" s="5">
        <f t="shared" si="8"/>
        <v>21.03</v>
      </c>
      <c r="W7" s="5">
        <v>0.66</v>
      </c>
      <c r="X7" s="5">
        <v>20.309999999999999</v>
      </c>
      <c r="Y7" s="5">
        <f t="shared" si="9"/>
        <v>20.97</v>
      </c>
      <c r="Z7" s="5">
        <v>0.65</v>
      </c>
      <c r="AA7" s="5">
        <v>20.329999999999998</v>
      </c>
      <c r="AB7" s="5">
        <f t="shared" si="10"/>
        <v>20.979999999999997</v>
      </c>
      <c r="AC7" s="5">
        <v>0.64</v>
      </c>
      <c r="AD7" s="5">
        <v>20.32</v>
      </c>
      <c r="AE7" s="5">
        <f t="shared" si="11"/>
        <v>20.96</v>
      </c>
      <c r="AF7" s="5">
        <f t="shared" si="12"/>
        <v>21.000999999999998</v>
      </c>
      <c r="AG7" s="5">
        <f t="shared" si="13"/>
        <v>10.500499999999999</v>
      </c>
      <c r="AI7" s="2">
        <f t="shared" si="0"/>
        <v>0.2</v>
      </c>
      <c r="AJ7" s="2">
        <f t="shared" si="1"/>
        <v>10.500499999999999</v>
      </c>
      <c r="AK7" s="4">
        <f t="shared" si="14"/>
        <v>4.2001999999999995E-4</v>
      </c>
      <c r="AL7" s="2">
        <f t="shared" si="15"/>
        <v>100</v>
      </c>
      <c r="AM7" s="1">
        <f t="shared" si="16"/>
        <v>0.70003333333333329</v>
      </c>
      <c r="AN7" s="3">
        <f t="shared" si="17"/>
        <v>7.0003333333333332E-3</v>
      </c>
      <c r="AO7" s="2">
        <f t="shared" si="18"/>
        <v>5570.688266454823</v>
      </c>
    </row>
    <row r="8" spans="1:45">
      <c r="A8" s="5">
        <v>300</v>
      </c>
      <c r="B8" s="5">
        <v>3.68</v>
      </c>
      <c r="C8" s="5">
        <v>24.87</v>
      </c>
      <c r="D8" s="5">
        <f t="shared" si="2"/>
        <v>28.55</v>
      </c>
      <c r="E8" s="5">
        <v>3.67</v>
      </c>
      <c r="F8" s="5">
        <v>24.78</v>
      </c>
      <c r="G8" s="5">
        <f t="shared" si="3"/>
        <v>28.450000000000003</v>
      </c>
      <c r="H8" s="5">
        <v>3.7</v>
      </c>
      <c r="I8" s="5">
        <v>24.73</v>
      </c>
      <c r="J8" s="5">
        <f t="shared" si="4"/>
        <v>28.43</v>
      </c>
      <c r="K8" s="5">
        <v>3.73</v>
      </c>
      <c r="L8" s="5">
        <v>24.68</v>
      </c>
      <c r="M8" s="5">
        <f t="shared" si="5"/>
        <v>28.41</v>
      </c>
      <c r="N8" s="5">
        <v>3.75</v>
      </c>
      <c r="O8" s="5">
        <v>24.63</v>
      </c>
      <c r="P8" s="5">
        <f t="shared" si="6"/>
        <v>28.38</v>
      </c>
      <c r="Q8" s="5">
        <v>3.78</v>
      </c>
      <c r="R8" s="5">
        <v>24.59</v>
      </c>
      <c r="S8" s="5">
        <f t="shared" si="7"/>
        <v>28.37</v>
      </c>
      <c r="T8" s="5">
        <v>3.82</v>
      </c>
      <c r="U8" s="5">
        <v>24.55</v>
      </c>
      <c r="V8" s="5">
        <f t="shared" si="8"/>
        <v>28.37</v>
      </c>
      <c r="W8" s="5">
        <v>3.85</v>
      </c>
      <c r="X8" s="5">
        <v>24.5</v>
      </c>
      <c r="Y8" s="5">
        <f t="shared" si="9"/>
        <v>28.35</v>
      </c>
      <c r="Z8" s="5">
        <v>3.86</v>
      </c>
      <c r="AA8" s="5">
        <v>24.46</v>
      </c>
      <c r="AB8" s="5">
        <f t="shared" si="10"/>
        <v>28.32</v>
      </c>
      <c r="AC8" s="5">
        <v>3.91</v>
      </c>
      <c r="AD8" s="5">
        <v>24.43</v>
      </c>
      <c r="AE8" s="5">
        <f t="shared" si="11"/>
        <v>28.34</v>
      </c>
      <c r="AF8" s="5">
        <f t="shared" si="12"/>
        <v>28.396999999999998</v>
      </c>
      <c r="AG8" s="5">
        <f t="shared" si="13"/>
        <v>14.198499999999999</v>
      </c>
      <c r="AI8" s="2">
        <f t="shared" si="0"/>
        <v>0.3</v>
      </c>
      <c r="AJ8" s="2">
        <f t="shared" si="1"/>
        <v>14.198499999999999</v>
      </c>
      <c r="AK8" s="4">
        <f t="shared" si="14"/>
        <v>5.6793999999999996E-4</v>
      </c>
      <c r="AL8" s="2">
        <f t="shared" si="15"/>
        <v>150</v>
      </c>
      <c r="AM8" s="1">
        <f t="shared" si="16"/>
        <v>0.94656666666666667</v>
      </c>
      <c r="AN8" s="3">
        <f t="shared" si="17"/>
        <v>6.310444444444444E-3</v>
      </c>
      <c r="AO8" s="2">
        <f t="shared" si="18"/>
        <v>5021.6921322006128</v>
      </c>
    </row>
    <row r="9" spans="1:45">
      <c r="A9" s="5">
        <v>400</v>
      </c>
      <c r="B9" s="5">
        <v>6.37</v>
      </c>
      <c r="C9" s="5">
        <v>26.92</v>
      </c>
      <c r="D9" s="5">
        <f t="shared" si="2"/>
        <v>33.29</v>
      </c>
      <c r="E9" s="5">
        <v>6.34</v>
      </c>
      <c r="F9" s="5">
        <v>26.84</v>
      </c>
      <c r="G9" s="5">
        <f t="shared" si="3"/>
        <v>33.18</v>
      </c>
      <c r="H9" s="5">
        <v>6.38</v>
      </c>
      <c r="I9" s="5">
        <v>26.79</v>
      </c>
      <c r="J9" s="5">
        <f t="shared" si="4"/>
        <v>33.17</v>
      </c>
      <c r="K9" s="5">
        <v>6.42</v>
      </c>
      <c r="L9" s="5">
        <v>26.73</v>
      </c>
      <c r="M9" s="5">
        <f t="shared" si="5"/>
        <v>33.15</v>
      </c>
      <c r="N9" s="5">
        <v>6.46</v>
      </c>
      <c r="O9" s="5">
        <v>26.67</v>
      </c>
      <c r="P9" s="5">
        <f t="shared" si="6"/>
        <v>33.130000000000003</v>
      </c>
      <c r="Q9" s="5">
        <v>6.5</v>
      </c>
      <c r="R9" s="5">
        <v>26.6</v>
      </c>
      <c r="S9" s="5">
        <f t="shared" si="7"/>
        <v>33.1</v>
      </c>
      <c r="T9" s="5">
        <v>6.54</v>
      </c>
      <c r="U9" s="5">
        <v>26.56</v>
      </c>
      <c r="V9" s="5">
        <f t="shared" si="8"/>
        <v>33.1</v>
      </c>
      <c r="W9" s="5">
        <v>6.6</v>
      </c>
      <c r="X9" s="5">
        <v>26.51</v>
      </c>
      <c r="Y9" s="5">
        <f t="shared" si="9"/>
        <v>33.11</v>
      </c>
      <c r="Z9" s="5">
        <v>6.61</v>
      </c>
      <c r="AA9" s="5">
        <v>26.46</v>
      </c>
      <c r="AB9" s="5">
        <f t="shared" si="10"/>
        <v>33.07</v>
      </c>
      <c r="AC9" s="5">
        <v>6.64</v>
      </c>
      <c r="AD9" s="5">
        <v>26.43</v>
      </c>
      <c r="AE9" s="5">
        <f t="shared" si="11"/>
        <v>33.07</v>
      </c>
      <c r="AF9" s="5">
        <f t="shared" si="12"/>
        <v>33.136999999999993</v>
      </c>
      <c r="AG9" s="5">
        <f t="shared" si="13"/>
        <v>16.568499999999997</v>
      </c>
      <c r="AI9" s="2">
        <f t="shared" si="0"/>
        <v>0.4</v>
      </c>
      <c r="AJ9" s="2">
        <f t="shared" si="1"/>
        <v>16.568499999999997</v>
      </c>
      <c r="AK9" s="4">
        <f t="shared" si="14"/>
        <v>6.6273999999999988E-4</v>
      </c>
      <c r="AL9" s="2">
        <f t="shared" si="15"/>
        <v>200</v>
      </c>
      <c r="AM9" s="1">
        <f t="shared" si="16"/>
        <v>1.1045666666666665</v>
      </c>
      <c r="AN9" s="3">
        <f t="shared" si="17"/>
        <v>5.5228333333333327E-3</v>
      </c>
      <c r="AO9" s="2">
        <f t="shared" si="18"/>
        <v>4394.9311243634456</v>
      </c>
    </row>
    <row r="10" spans="1:45">
      <c r="A10" s="5">
        <v>500</v>
      </c>
      <c r="B10" s="5">
        <v>8.0399999999999991</v>
      </c>
      <c r="C10" s="5">
        <v>27.79</v>
      </c>
      <c r="D10" s="5">
        <f t="shared" si="2"/>
        <v>35.83</v>
      </c>
      <c r="E10" s="5">
        <v>8.14</v>
      </c>
      <c r="F10" s="5">
        <v>7</v>
      </c>
      <c r="G10" s="5">
        <f t="shared" si="3"/>
        <v>15.14</v>
      </c>
      <c r="H10" s="5">
        <v>28.9</v>
      </c>
      <c r="I10" s="5">
        <v>6.98</v>
      </c>
      <c r="J10" s="5">
        <f t="shared" si="4"/>
        <v>35.879999999999995</v>
      </c>
      <c r="K10" s="5">
        <v>28.96</v>
      </c>
      <c r="L10" s="5">
        <v>6.9</v>
      </c>
      <c r="M10" s="5">
        <f t="shared" si="5"/>
        <v>35.86</v>
      </c>
      <c r="N10" s="5">
        <v>29.01</v>
      </c>
      <c r="O10" s="5">
        <v>6.88</v>
      </c>
      <c r="P10" s="5">
        <f t="shared" si="6"/>
        <v>35.89</v>
      </c>
      <c r="Q10" s="5">
        <v>29.06</v>
      </c>
      <c r="R10" s="5">
        <v>6.85</v>
      </c>
      <c r="S10" s="5">
        <f t="shared" si="7"/>
        <v>35.909999999999997</v>
      </c>
      <c r="T10" s="5">
        <v>29.09</v>
      </c>
      <c r="U10" s="5">
        <v>6.8</v>
      </c>
      <c r="V10" s="5">
        <f t="shared" si="8"/>
        <v>35.89</v>
      </c>
      <c r="W10" s="5">
        <v>29.13</v>
      </c>
      <c r="X10" s="5">
        <v>1.94</v>
      </c>
      <c r="Y10" s="5">
        <f t="shared" si="9"/>
        <v>31.07</v>
      </c>
      <c r="Z10" s="5">
        <v>33.979999999999997</v>
      </c>
      <c r="AA10" s="5">
        <v>1.92</v>
      </c>
      <c r="AB10" s="5">
        <f t="shared" si="10"/>
        <v>35.9</v>
      </c>
      <c r="AC10" s="5">
        <v>34.03</v>
      </c>
      <c r="AD10" s="5">
        <v>1.87</v>
      </c>
      <c r="AE10" s="5">
        <f t="shared" si="11"/>
        <v>35.9</v>
      </c>
      <c r="AF10" s="5">
        <f t="shared" si="12"/>
        <v>33.326999999999991</v>
      </c>
      <c r="AG10" s="5">
        <f t="shared" si="13"/>
        <v>16.663499999999996</v>
      </c>
      <c r="AI10" s="2">
        <f t="shared" si="0"/>
        <v>0.5</v>
      </c>
      <c r="AJ10" s="2">
        <f t="shared" si="1"/>
        <v>16.663499999999996</v>
      </c>
      <c r="AK10" s="4">
        <f t="shared" si="14"/>
        <v>6.6653999999999975E-4</v>
      </c>
      <c r="AL10" s="2">
        <f t="shared" si="15"/>
        <v>250</v>
      </c>
      <c r="AM10" s="1">
        <f t="shared" si="16"/>
        <v>1.1108999999999998</v>
      </c>
      <c r="AN10" s="3">
        <f t="shared" si="17"/>
        <v>4.4435999999999989E-3</v>
      </c>
      <c r="AO10" s="2">
        <f t="shared" si="18"/>
        <v>3536.1045256157299</v>
      </c>
    </row>
    <row r="11" spans="1:45" ht="20.25" thickBot="1">
      <c r="A11" s="6">
        <v>600</v>
      </c>
      <c r="B11" s="6">
        <v>12.52</v>
      </c>
      <c r="C11" s="6">
        <v>24.94</v>
      </c>
      <c r="D11" s="6">
        <f t="shared" si="2"/>
        <v>37.46</v>
      </c>
      <c r="E11" s="6">
        <v>12.61</v>
      </c>
      <c r="F11" s="6">
        <v>24.88</v>
      </c>
      <c r="G11" s="6">
        <f t="shared" si="3"/>
        <v>37.489999999999995</v>
      </c>
      <c r="H11" s="6">
        <v>12.67</v>
      </c>
      <c r="I11" s="6">
        <v>24.83</v>
      </c>
      <c r="J11" s="6">
        <f t="shared" si="4"/>
        <v>37.5</v>
      </c>
      <c r="K11" s="6">
        <v>12.71</v>
      </c>
      <c r="L11" s="6"/>
      <c r="M11" s="6">
        <f t="shared" si="5"/>
        <v>12.71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>
        <f>AVERAGE(D11,G11,J11)</f>
        <v>37.483333333333327</v>
      </c>
      <c r="AG11" s="6">
        <f t="shared" si="13"/>
        <v>18.741666666666664</v>
      </c>
      <c r="AI11" s="8">
        <f t="shared" si="0"/>
        <v>0.6</v>
      </c>
      <c r="AJ11" s="8">
        <f t="shared" si="1"/>
        <v>18.741666666666664</v>
      </c>
      <c r="AK11" s="9">
        <f t="shared" si="14"/>
        <v>7.4966666666666649E-4</v>
      </c>
      <c r="AL11" s="8">
        <f t="shared" si="15"/>
        <v>300</v>
      </c>
      <c r="AM11" s="10">
        <f t="shared" si="16"/>
        <v>1.2494444444444444</v>
      </c>
      <c r="AN11" s="11">
        <f t="shared" si="17"/>
        <v>4.1648148148148148E-3</v>
      </c>
      <c r="AO11" s="8">
        <f t="shared" si="18"/>
        <v>3314.2543242006723</v>
      </c>
    </row>
    <row r="12" spans="1:45">
      <c r="AI12" s="2"/>
      <c r="AJ12" s="2"/>
      <c r="AK12" s="4"/>
      <c r="AL12" s="2"/>
      <c r="AM12" s="1"/>
      <c r="AN12" s="3"/>
      <c r="AO12" s="2"/>
    </row>
    <row r="13" spans="1:45">
      <c r="AI13" s="2"/>
      <c r="AJ13" s="2"/>
      <c r="AK13" s="4"/>
      <c r="AL13" s="2"/>
      <c r="AM13" s="1"/>
      <c r="AN13" s="3"/>
      <c r="AO13" s="2"/>
    </row>
    <row r="14" spans="1:45">
      <c r="AI14" s="2"/>
      <c r="AJ14" s="2"/>
      <c r="AK14" s="4"/>
      <c r="AL14" s="2"/>
      <c r="AM14" s="1"/>
      <c r="AN14" s="3"/>
      <c r="AO14" s="2"/>
    </row>
    <row r="15" spans="1:45" ht="20.25" thickBot="1">
      <c r="I15" s="6"/>
      <c r="AI15" s="2"/>
      <c r="AJ15" s="2"/>
      <c r="AK15" s="4"/>
      <c r="AL15" s="2"/>
      <c r="AM15" s="1"/>
      <c r="AN15" s="3"/>
      <c r="AO15" s="2"/>
    </row>
  </sheetData>
  <mergeCells count="14">
    <mergeCell ref="A1:A3"/>
    <mergeCell ref="B2:D2"/>
    <mergeCell ref="E2:G2"/>
    <mergeCell ref="H2:J2"/>
    <mergeCell ref="K2:M2"/>
    <mergeCell ref="B1:AG1"/>
    <mergeCell ref="AG2:AG3"/>
    <mergeCell ref="Q2:S2"/>
    <mergeCell ref="Z2:AB2"/>
    <mergeCell ref="AC2:AE2"/>
    <mergeCell ref="AF2:AF3"/>
    <mergeCell ref="T2:V2"/>
    <mergeCell ref="W2:Y2"/>
    <mergeCell ref="N2:P2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A7F2-9247-824A-B6F3-85BC858DB314}">
  <dimension ref="A1:T51"/>
  <sheetViews>
    <sheetView tabSelected="1" topLeftCell="B1" zoomScale="70" zoomScaleNormal="70" workbookViewId="0">
      <selection activeCell="S21" sqref="S21"/>
    </sheetView>
  </sheetViews>
  <sheetFormatPr defaultColWidth="11.5546875" defaultRowHeight="19.5"/>
  <cols>
    <col min="1" max="1" width="14.33203125" bestFit="1" customWidth="1"/>
    <col min="2" max="2" width="15.109375" bestFit="1" customWidth="1"/>
    <col min="3" max="3" width="14.33203125" bestFit="1" customWidth="1"/>
    <col min="4" max="4" width="13.109375" bestFit="1" customWidth="1"/>
    <col min="5" max="5" width="18.44140625" bestFit="1" customWidth="1"/>
    <col min="6" max="6" width="17.5546875" bestFit="1" customWidth="1"/>
    <col min="7" max="7" width="14.6640625" bestFit="1" customWidth="1"/>
    <col min="8" max="8" width="11.109375" bestFit="1" customWidth="1"/>
    <col min="9" max="9" width="13.88671875" bestFit="1" customWidth="1"/>
    <col min="11" max="11" width="10.88671875" bestFit="1" customWidth="1"/>
  </cols>
  <sheetData>
    <row r="1" spans="1:20" ht="20.25" thickBot="1">
      <c r="A1" s="6" t="s">
        <v>33</v>
      </c>
      <c r="B1" s="6">
        <v>50</v>
      </c>
      <c r="C1" s="6" t="s">
        <v>13</v>
      </c>
      <c r="D1" s="6"/>
      <c r="E1" s="6"/>
      <c r="F1" s="6"/>
      <c r="G1" s="6"/>
      <c r="H1" s="6"/>
      <c r="I1" s="6"/>
    </row>
    <row r="2" spans="1:20" ht="20.25" thickBot="1">
      <c r="A2" s="6" t="s">
        <v>34</v>
      </c>
      <c r="B2" s="6" t="s">
        <v>27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R2" s="6" t="s">
        <v>17</v>
      </c>
      <c r="S2" s="18" t="s">
        <v>38</v>
      </c>
      <c r="T2" s="18" t="s">
        <v>39</v>
      </c>
    </row>
    <row r="3" spans="1:20">
      <c r="A3">
        <v>298</v>
      </c>
      <c r="B3">
        <v>48.5</v>
      </c>
      <c r="C3">
        <f>15*0.2</f>
        <v>3</v>
      </c>
      <c r="D3" s="1">
        <f>SQRT((A3*10^-3)^2-(C3/B3)^2)</f>
        <v>0.29150965005655877</v>
      </c>
      <c r="E3">
        <f>SQRT(2)*D3*700/0.88</f>
        <v>327.9316255350389</v>
      </c>
      <c r="F3">
        <f t="shared" ref="F3:F15" si="0">B3/(4.44*$B$1*700*2625*10^-6)</f>
        <v>0.1188944046086903</v>
      </c>
      <c r="G3">
        <f>F3/E3</f>
        <v>3.6255851937033333E-4</v>
      </c>
      <c r="H3">
        <f>G3/(4*PI()*10^-7)</f>
        <v>288.51490258933615</v>
      </c>
      <c r="I3">
        <f t="shared" ref="I3:I15" si="1">(C3-B3^2*(10^-1*10^-6 + 5^-1*10^-3) )/2.2932</f>
        <v>1.1029630102040815</v>
      </c>
      <c r="R3">
        <f>F3</f>
        <v>0.1188944046086903</v>
      </c>
      <c r="S3">
        <f>(B18^2*I3-B1^2*I20)/B1*B18^2-B18*B1^2</f>
        <v>-125247.27809510208</v>
      </c>
    </row>
    <row r="4" spans="1:20">
      <c r="A4">
        <v>270.5</v>
      </c>
      <c r="B4">
        <v>47.9</v>
      </c>
      <c r="C4">
        <f>14.5*0.2</f>
        <v>2.9000000000000004</v>
      </c>
      <c r="D4" s="1">
        <f t="shared" ref="D4:D15" si="2">SQRT((A4*10^-3)^2-(C4/B4)^2)</f>
        <v>0.2636376673988487</v>
      </c>
      <c r="E4">
        <f>SQRT(2)*D4*700/0.88</f>
        <v>296.57724471761509</v>
      </c>
      <c r="F4">
        <f t="shared" si="0"/>
        <v>0.11742354599497454</v>
      </c>
      <c r="G4">
        <f t="shared" ref="G4:G11" si="3">F4/E4</f>
        <v>3.9592904744522434E-4</v>
      </c>
      <c r="H4">
        <f t="shared" ref="H4:H15" si="4">G4/(4*PI()*10^-7)</f>
        <v>315.07032507286505</v>
      </c>
      <c r="I4">
        <f t="shared" si="1"/>
        <v>1.0644028253096112</v>
      </c>
      <c r="R4">
        <f>F8</f>
        <v>0.11006925292639576</v>
      </c>
    </row>
    <row r="5" spans="1:20">
      <c r="A5">
        <v>241.6</v>
      </c>
      <c r="B5">
        <v>47.4</v>
      </c>
      <c r="C5">
        <f>14*0.2</f>
        <v>2.8000000000000003</v>
      </c>
      <c r="D5" s="1">
        <f t="shared" si="2"/>
        <v>0.2342671353813677</v>
      </c>
      <c r="E5">
        <f>SQRT(2)*D5*700/0.88</f>
        <v>263.53708187754199</v>
      </c>
      <c r="F5">
        <f t="shared" si="0"/>
        <v>0.11619783048354475</v>
      </c>
      <c r="G5">
        <f t="shared" si="3"/>
        <v>4.4091643443763443E-4</v>
      </c>
      <c r="H5">
        <f t="shared" si="4"/>
        <v>350.87015015601554</v>
      </c>
      <c r="I5">
        <f t="shared" si="1"/>
        <v>1.0249534815977674</v>
      </c>
      <c r="R5">
        <f>F14</f>
        <v>1.6228473371330512E-2</v>
      </c>
    </row>
    <row r="6" spans="1:20">
      <c r="A6">
        <v>209.3</v>
      </c>
      <c r="B6">
        <v>46.7</v>
      </c>
      <c r="C6">
        <f>13.5*0.2</f>
        <v>2.7</v>
      </c>
      <c r="D6" s="1">
        <f t="shared" si="2"/>
        <v>0.20115620291606204</v>
      </c>
      <c r="E6">
        <f t="shared" ref="E6:E14" si="5">SQRT(2)*D6*700/0.88</f>
        <v>226.28918320858921</v>
      </c>
      <c r="F6">
        <f t="shared" si="0"/>
        <v>0.11448182876754304</v>
      </c>
      <c r="G6">
        <f t="shared" si="3"/>
        <v>5.0590941707547639E-4</v>
      </c>
      <c r="H6">
        <f t="shared" si="4"/>
        <v>402.58992242150697</v>
      </c>
      <c r="I6">
        <f t="shared" si="1"/>
        <v>0.98709397828362111</v>
      </c>
    </row>
    <row r="7" spans="1:20">
      <c r="A7">
        <v>179.5</v>
      </c>
      <c r="B7">
        <v>45.9</v>
      </c>
      <c r="C7">
        <f>13*0.2</f>
        <v>2.6</v>
      </c>
      <c r="D7" s="1">
        <f t="shared" si="2"/>
        <v>0.17032794119004699</v>
      </c>
      <c r="E7">
        <f t="shared" si="5"/>
        <v>191.60915811072269</v>
      </c>
      <c r="F7">
        <f t="shared" si="0"/>
        <v>0.11252068394925535</v>
      </c>
      <c r="G7">
        <f t="shared" si="3"/>
        <v>5.8724063640128567E-4</v>
      </c>
      <c r="H7">
        <f t="shared" si="4"/>
        <v>467.31125033847513</v>
      </c>
      <c r="I7">
        <f t="shared" si="1"/>
        <v>0.94995086298622</v>
      </c>
    </row>
    <row r="8" spans="1:20">
      <c r="A8">
        <v>150</v>
      </c>
      <c r="B8">
        <v>44.9</v>
      </c>
      <c r="C8">
        <f>12*0.2</f>
        <v>2.4000000000000004</v>
      </c>
      <c r="D8" s="1">
        <f t="shared" si="2"/>
        <v>0.14015302820532435</v>
      </c>
      <c r="E8">
        <f t="shared" si="5"/>
        <v>157.6641128487955</v>
      </c>
      <c r="F8">
        <f t="shared" si="0"/>
        <v>0.11006925292639576</v>
      </c>
      <c r="G8">
        <f t="shared" si="3"/>
        <v>6.9812496285667368E-4</v>
      </c>
      <c r="H8">
        <f t="shared" si="4"/>
        <v>555.55019367242721</v>
      </c>
      <c r="I8">
        <f t="shared" si="1"/>
        <v>0.87065951465201474</v>
      </c>
      <c r="Q8" t="s">
        <v>40</v>
      </c>
      <c r="R8">
        <v>50</v>
      </c>
    </row>
    <row r="9" spans="1:20">
      <c r="A9">
        <v>120</v>
      </c>
      <c r="B9">
        <v>43.2</v>
      </c>
      <c r="C9">
        <f>11*0.2</f>
        <v>2.2000000000000002</v>
      </c>
      <c r="D9" s="1">
        <f t="shared" si="2"/>
        <v>0.1086579498637219</v>
      </c>
      <c r="E9">
        <f t="shared" si="5"/>
        <v>122.23395732937719</v>
      </c>
      <c r="F9">
        <f t="shared" si="0"/>
        <v>0.10590182018753447</v>
      </c>
      <c r="G9">
        <f t="shared" si="3"/>
        <v>8.663862522438556E-4</v>
      </c>
      <c r="H9">
        <f t="shared" si="4"/>
        <v>689.44827335735658</v>
      </c>
      <c r="I9">
        <f t="shared" si="1"/>
        <v>0.79651376940519791</v>
      </c>
      <c r="Q9" t="s">
        <v>41</v>
      </c>
      <c r="R9">
        <v>60</v>
      </c>
    </row>
    <row r="10" spans="1:20">
      <c r="A10">
        <v>90</v>
      </c>
      <c r="B10">
        <v>40</v>
      </c>
      <c r="C10">
        <f>9*0.2</f>
        <v>1.8</v>
      </c>
      <c r="D10" s="1">
        <f t="shared" si="2"/>
        <v>7.7942286340599479E-2</v>
      </c>
      <c r="E10">
        <f t="shared" si="5"/>
        <v>87.680598747352406</v>
      </c>
      <c r="F10">
        <f t="shared" si="0"/>
        <v>9.8057240914383753E-2</v>
      </c>
      <c r="G10">
        <f t="shared" si="3"/>
        <v>1.1183459318854694E-3</v>
      </c>
      <c r="H10">
        <f t="shared" si="4"/>
        <v>889.95141573142268</v>
      </c>
      <c r="I10">
        <f t="shared" si="1"/>
        <v>0.64531658817373105</v>
      </c>
      <c r="Q10" t="s">
        <v>42</v>
      </c>
      <c r="R10">
        <f>I9</f>
        <v>0.79651376940519791</v>
      </c>
    </row>
    <row r="11" spans="1:20">
      <c r="A11">
        <v>60</v>
      </c>
      <c r="B11">
        <v>33.19</v>
      </c>
      <c r="C11">
        <f>6*0.2</f>
        <v>1.2000000000000002</v>
      </c>
      <c r="D11" s="1">
        <f t="shared" si="2"/>
        <v>4.78830042550469E-2</v>
      </c>
      <c r="E11">
        <f t="shared" si="5"/>
        <v>53.865631610521781</v>
      </c>
      <c r="F11">
        <f t="shared" si="0"/>
        <v>8.1362995648709913E-2</v>
      </c>
      <c r="G11">
        <f t="shared" si="3"/>
        <v>1.5104806760089483E-3</v>
      </c>
      <c r="H11">
        <f t="shared" si="4"/>
        <v>1202.0023301580588</v>
      </c>
      <c r="I11">
        <f t="shared" si="1"/>
        <v>0.42716493214285717</v>
      </c>
      <c r="Q11" t="s">
        <v>43</v>
      </c>
      <c r="R11">
        <f>I27</f>
        <v>0.80691754900000001</v>
      </c>
    </row>
    <row r="12" spans="1:20">
      <c r="A12">
        <v>45</v>
      </c>
      <c r="B12">
        <v>26.87</v>
      </c>
      <c r="C12">
        <f>3.5*0.2</f>
        <v>0.70000000000000007</v>
      </c>
      <c r="D12" s="1">
        <f t="shared" si="2"/>
        <v>3.6692325163691586E-2</v>
      </c>
      <c r="E12">
        <f t="shared" si="5"/>
        <v>41.276759905735645</v>
      </c>
      <c r="F12">
        <f t="shared" si="0"/>
        <v>6.5869951584237293E-2</v>
      </c>
      <c r="G12">
        <f>F12/E12</f>
        <v>1.5958120679691306E-3</v>
      </c>
      <c r="H12">
        <f t="shared" si="4"/>
        <v>1269.9068943149339</v>
      </c>
      <c r="I12">
        <f t="shared" si="1"/>
        <v>0.24225031410692482</v>
      </c>
    </row>
    <row r="13" spans="1:20">
      <c r="A13">
        <v>30</v>
      </c>
      <c r="B13">
        <v>17.77</v>
      </c>
      <c r="C13">
        <f>1.5*0.2</f>
        <v>0.30000000000000004</v>
      </c>
      <c r="D13" s="1">
        <f t="shared" si="2"/>
        <v>2.4798891940264713E-2</v>
      </c>
      <c r="E13">
        <f t="shared" si="5"/>
        <v>27.897330135935267</v>
      </c>
      <c r="F13">
        <f t="shared" si="0"/>
        <v>4.3561929276214981E-2</v>
      </c>
      <c r="G13">
        <f t="shared" ref="G13:G15" si="6">F13/E13</f>
        <v>1.5615088993803654E-3</v>
      </c>
      <c r="H13">
        <f t="shared" si="4"/>
        <v>1242.6093000918509</v>
      </c>
      <c r="I13" t="s">
        <v>37</v>
      </c>
      <c r="Q13" t="s">
        <v>46</v>
      </c>
      <c r="R13">
        <f>(R9^2*R10-R8^2*R11)</f>
        <v>850.15569735871236</v>
      </c>
    </row>
    <row r="14" spans="1:20">
      <c r="A14">
        <v>15</v>
      </c>
      <c r="B14">
        <v>6.62</v>
      </c>
      <c r="C14">
        <f>0.1*0.2</f>
        <v>2.0000000000000004E-2</v>
      </c>
      <c r="D14" s="1">
        <f t="shared" si="2"/>
        <v>1.4692605777840768E-2</v>
      </c>
      <c r="E14">
        <f t="shared" si="5"/>
        <v>16.528338239018865</v>
      </c>
      <c r="F14">
        <f t="shared" si="0"/>
        <v>1.6228473371330512E-2</v>
      </c>
      <c r="G14">
        <f t="shared" si="6"/>
        <v>9.8185753078428332E-4</v>
      </c>
      <c r="H14">
        <f t="shared" si="4"/>
        <v>781.33739718160746</v>
      </c>
      <c r="I14">
        <f t="shared" si="1"/>
        <v>4.8974086691086702E-3</v>
      </c>
      <c r="Q14" t="s">
        <v>47</v>
      </c>
      <c r="R14">
        <f>R8*R11-R9*R10</f>
        <v>-7.4449487143118702</v>
      </c>
    </row>
    <row r="15" spans="1:20" ht="20.25" thickBot="1">
      <c r="A15" s="6">
        <v>0.03</v>
      </c>
      <c r="B15" s="6">
        <v>2.1999999999999999E-2</v>
      </c>
      <c r="C15" s="6">
        <v>0</v>
      </c>
      <c r="D15" s="10">
        <f t="shared" si="2"/>
        <v>3.0000000000000001E-5</v>
      </c>
      <c r="E15" s="6">
        <f>SQRT(2)*D15*700/0.88</f>
        <v>3.3748278192994315E-2</v>
      </c>
      <c r="F15" s="6">
        <f t="shared" si="0"/>
        <v>5.3931482502911062E-5</v>
      </c>
      <c r="G15" s="6">
        <f t="shared" si="6"/>
        <v>1.5980513789324666E-3</v>
      </c>
      <c r="H15" s="6">
        <f t="shared" si="4"/>
        <v>1271.6888813596081</v>
      </c>
      <c r="I15" s="6">
        <f t="shared" si="1"/>
        <v>-4.223286237571951E-8</v>
      </c>
      <c r="Q15" t="s">
        <v>48</v>
      </c>
      <c r="R15">
        <f>R8*R9^2-R9*R8^2</f>
        <v>30000</v>
      </c>
    </row>
    <row r="16" spans="1:20">
      <c r="Q16" t="s">
        <v>44</v>
      </c>
      <c r="R16">
        <f>R13/R15</f>
        <v>2.833852324529041E-2</v>
      </c>
    </row>
    <row r="17" spans="1:18">
      <c r="Q17" t="s">
        <v>45</v>
      </c>
      <c r="R17">
        <f>R14/R15</f>
        <v>-2.4816495714372901E-4</v>
      </c>
    </row>
    <row r="18" spans="1:18" ht="20.25" thickBot="1">
      <c r="A18" s="6" t="s">
        <v>33</v>
      </c>
      <c r="B18" s="6">
        <v>60</v>
      </c>
      <c r="C18" s="6" t="s">
        <v>13</v>
      </c>
      <c r="D18" s="6"/>
      <c r="E18" s="6"/>
      <c r="F18" s="6"/>
      <c r="G18" s="6"/>
      <c r="H18" s="6"/>
      <c r="I18" s="6"/>
    </row>
    <row r="19" spans="1:18" ht="20.25" thickBot="1">
      <c r="A19" s="6" t="s">
        <v>34</v>
      </c>
      <c r="B19" s="6" t="s">
        <v>27</v>
      </c>
      <c r="C19" s="6" t="s">
        <v>20</v>
      </c>
      <c r="D19" s="6" t="s">
        <v>21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</row>
    <row r="20" spans="1:18">
      <c r="A20">
        <v>300</v>
      </c>
      <c r="B20">
        <v>58</v>
      </c>
      <c r="C20">
        <v>4</v>
      </c>
      <c r="D20">
        <v>0.29199999999999998</v>
      </c>
      <c r="E20">
        <v>328.44424609999999</v>
      </c>
      <c r="F20">
        <v>0.118485833</v>
      </c>
      <c r="G20">
        <v>3.60749E-4</v>
      </c>
      <c r="H20">
        <v>287.07468920000002</v>
      </c>
      <c r="I20">
        <v>1.450751613</v>
      </c>
    </row>
    <row r="21" spans="1:18">
      <c r="A21">
        <v>270.10000000000002</v>
      </c>
      <c r="B21">
        <v>57.4</v>
      </c>
      <c r="C21">
        <v>3.82</v>
      </c>
      <c r="D21">
        <v>0.26200000000000001</v>
      </c>
      <c r="E21">
        <v>294.47946000000002</v>
      </c>
      <c r="F21">
        <v>0.117260117</v>
      </c>
      <c r="G21">
        <v>3.9819500000000001E-4</v>
      </c>
      <c r="H21">
        <v>316.87315799999999</v>
      </c>
      <c r="I21">
        <v>1.37830042</v>
      </c>
    </row>
    <row r="22" spans="1:18">
      <c r="A22">
        <v>240.3</v>
      </c>
      <c r="B22">
        <v>56.8</v>
      </c>
      <c r="C22">
        <v>3.66</v>
      </c>
      <c r="D22">
        <v>0.23100000000000001</v>
      </c>
      <c r="E22">
        <v>260.42363519999998</v>
      </c>
      <c r="F22">
        <v>0.11603440199999999</v>
      </c>
      <c r="G22">
        <v>4.4556000000000001E-4</v>
      </c>
      <c r="H22">
        <v>354.56552529999999</v>
      </c>
      <c r="I22">
        <v>1.314507839</v>
      </c>
    </row>
    <row r="23" spans="1:18">
      <c r="A23">
        <v>210.2</v>
      </c>
      <c r="B23">
        <v>56</v>
      </c>
      <c r="C23">
        <v>3.58</v>
      </c>
      <c r="D23">
        <v>0.2</v>
      </c>
      <c r="E23">
        <v>225.26165399999999</v>
      </c>
      <c r="F23">
        <v>0.114400114</v>
      </c>
      <c r="G23">
        <v>5.0785399999999997E-4</v>
      </c>
      <c r="H23">
        <v>404.13766329999999</v>
      </c>
      <c r="I23">
        <v>1.28749625</v>
      </c>
    </row>
    <row r="24" spans="1:18">
      <c r="A24">
        <v>180.1</v>
      </c>
      <c r="B24">
        <v>55</v>
      </c>
      <c r="C24">
        <v>3.4</v>
      </c>
      <c r="D24">
        <v>0.16900000000000001</v>
      </c>
      <c r="E24">
        <v>190.29335209999999</v>
      </c>
      <c r="F24">
        <v>0.112357255</v>
      </c>
      <c r="G24">
        <v>5.9044200000000005E-4</v>
      </c>
      <c r="H24">
        <v>469.85909809999998</v>
      </c>
      <c r="I24">
        <v>1.21868895</v>
      </c>
    </row>
    <row r="25" spans="1:18">
      <c r="A25">
        <v>150</v>
      </c>
      <c r="B25">
        <v>53.6</v>
      </c>
      <c r="C25">
        <v>3.16</v>
      </c>
      <c r="D25">
        <v>0.13800000000000001</v>
      </c>
      <c r="E25">
        <v>155.161689</v>
      </c>
      <c r="F25">
        <v>0.109497252</v>
      </c>
      <c r="G25">
        <v>7.0569800000000005E-4</v>
      </c>
      <c r="H25">
        <v>561.57641369999999</v>
      </c>
      <c r="I25">
        <v>1.127298406</v>
      </c>
    </row>
    <row r="26" spans="1:18">
      <c r="A26">
        <v>120.2</v>
      </c>
      <c r="B26">
        <v>51.6</v>
      </c>
      <c r="C26">
        <v>2.82</v>
      </c>
      <c r="D26">
        <v>0.107</v>
      </c>
      <c r="E26">
        <v>120.433449</v>
      </c>
      <c r="F26">
        <v>0.105411534</v>
      </c>
      <c r="G26">
        <v>8.7526800000000001E-4</v>
      </c>
      <c r="H26">
        <v>696.516077</v>
      </c>
      <c r="I26">
        <v>0.99739305099999997</v>
      </c>
    </row>
    <row r="27" spans="1:18">
      <c r="A27">
        <v>90</v>
      </c>
      <c r="B27">
        <v>47.4</v>
      </c>
      <c r="C27">
        <v>2.2999999999999998</v>
      </c>
      <c r="D27">
        <v>7.5999999999999998E-2</v>
      </c>
      <c r="E27">
        <v>85.269598869999996</v>
      </c>
      <c r="F27">
        <v>9.6831525000000002E-2</v>
      </c>
      <c r="G27">
        <v>1.1355930000000001E-3</v>
      </c>
      <c r="H27">
        <v>903.67587739999999</v>
      </c>
      <c r="I27">
        <v>0.80691754900000001</v>
      </c>
    </row>
    <row r="28" spans="1:18">
      <c r="A28">
        <v>60</v>
      </c>
      <c r="B28">
        <v>38.619999999999997</v>
      </c>
      <c r="C28">
        <v>1.42</v>
      </c>
      <c r="D28">
        <v>4.7E-2</v>
      </c>
      <c r="E28">
        <v>53.337898279999997</v>
      </c>
      <c r="F28">
        <v>7.8895222000000001E-2</v>
      </c>
      <c r="G28">
        <v>1.4791590000000001E-3</v>
      </c>
      <c r="H28">
        <v>1177.0771749999999</v>
      </c>
      <c r="I28">
        <v>0.489076387</v>
      </c>
    </row>
    <row r="29" spans="1:18">
      <c r="A29">
        <v>45</v>
      </c>
      <c r="B29">
        <v>30.84</v>
      </c>
      <c r="C29">
        <v>0.9</v>
      </c>
      <c r="D29">
        <v>3.4000000000000002E-2</v>
      </c>
      <c r="E29">
        <v>38.534162289999998</v>
      </c>
      <c r="F29">
        <v>6.3001776999999995E-2</v>
      </c>
      <c r="G29">
        <v>1.6349590000000001E-3</v>
      </c>
      <c r="H29">
        <v>1301.0590709999999</v>
      </c>
      <c r="I29">
        <v>0.30947312500000002</v>
      </c>
    </row>
    <row r="30" spans="1:18">
      <c r="A30">
        <v>30</v>
      </c>
      <c r="B30">
        <v>20.010000000000002</v>
      </c>
      <c r="C30">
        <v>0.38</v>
      </c>
      <c r="D30">
        <v>2.3E-2</v>
      </c>
      <c r="E30">
        <v>26.125825809999998</v>
      </c>
      <c r="F30">
        <v>4.0877612000000001E-2</v>
      </c>
      <c r="G30">
        <v>1.564644E-3</v>
      </c>
      <c r="H30">
        <v>1245.1040029999999</v>
      </c>
      <c r="I30">
        <v>0.130769205</v>
      </c>
    </row>
    <row r="31" spans="1:18">
      <c r="A31">
        <v>15</v>
      </c>
      <c r="B31">
        <v>7.46</v>
      </c>
      <c r="C31">
        <v>0.02</v>
      </c>
      <c r="D31">
        <v>1.4999999999999999E-2</v>
      </c>
      <c r="E31">
        <v>16.602431289999998</v>
      </c>
      <c r="F31">
        <v>1.523973E-2</v>
      </c>
      <c r="G31">
        <v>9.1792200000000005E-4</v>
      </c>
      <c r="H31">
        <v>730.45876299999998</v>
      </c>
      <c r="I31">
        <v>3.8653910000000001E-3</v>
      </c>
    </row>
    <row r="32" spans="1:18" ht="20.25" thickBot="1">
      <c r="A32" s="6">
        <v>0.02</v>
      </c>
      <c r="B32" s="6">
        <v>2.3E-2</v>
      </c>
      <c r="C32" s="6">
        <v>0</v>
      </c>
      <c r="D32" s="6">
        <v>0</v>
      </c>
      <c r="E32" s="6">
        <v>2.2498852E-2</v>
      </c>
      <c r="F32" s="12">
        <v>4.69858E-5</v>
      </c>
      <c r="G32" s="6">
        <v>2.0883630000000002E-3</v>
      </c>
      <c r="H32" s="6">
        <v>1661.8661520000001</v>
      </c>
      <c r="I32" s="12">
        <v>-4.6159499999999997E-8</v>
      </c>
    </row>
    <row r="51" spans="12:12">
      <c r="L51" t="s">
        <v>35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ryoga</cp:lastModifiedBy>
  <cp:lastPrinted>2019-07-24T23:33:31Z</cp:lastPrinted>
  <dcterms:created xsi:type="dcterms:W3CDTF">2019-04-18T00:23:16Z</dcterms:created>
  <dcterms:modified xsi:type="dcterms:W3CDTF">2019-07-24T23:44:54Z</dcterms:modified>
</cp:coreProperties>
</file>