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/Desktop/"/>
    </mc:Choice>
  </mc:AlternateContent>
  <xr:revisionPtr revIDLastSave="0" documentId="13_ncr:1_{EB0BB0EE-D6D0-2D43-A393-B148C32A89CA}" xr6:coauthVersionLast="36" xr6:coauthVersionMax="36" xr10:uidLastSave="{00000000-0000-0000-0000-000000000000}"/>
  <bookViews>
    <workbookView xWindow="1300" yWindow="460" windowWidth="27500" windowHeight="15580" xr2:uid="{44232043-9877-D142-913A-627D34BBA0B6}"/>
  </bookViews>
  <sheets>
    <sheet name="知佳 (2)" sheetId="5" r:id="rId1"/>
    <sheet name="友理" sheetId="1" r:id="rId2"/>
    <sheet name="知佳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5" l="1"/>
  <c r="C25" i="5"/>
  <c r="D25" i="5"/>
  <c r="E25" i="5"/>
  <c r="F25" i="5"/>
  <c r="G25" i="5"/>
  <c r="H25" i="5"/>
  <c r="I25" i="5"/>
  <c r="C24" i="5"/>
  <c r="D24" i="5"/>
  <c r="E24" i="5"/>
  <c r="F24" i="5"/>
  <c r="G24" i="5"/>
  <c r="H24" i="5"/>
  <c r="I24" i="5"/>
  <c r="C23" i="5"/>
  <c r="D23" i="5"/>
  <c r="E23" i="5"/>
  <c r="F23" i="5"/>
  <c r="G23" i="5"/>
  <c r="H23" i="5"/>
  <c r="I23" i="5"/>
  <c r="C22" i="5"/>
  <c r="D22" i="5"/>
  <c r="E22" i="5"/>
  <c r="F22" i="5"/>
  <c r="G22" i="5"/>
  <c r="H22" i="5"/>
  <c r="I22" i="5"/>
  <c r="C13" i="5"/>
  <c r="D13" i="5"/>
  <c r="D21" i="5" s="1"/>
  <c r="E13" i="5"/>
  <c r="E21" i="5" s="1"/>
  <c r="F13" i="5"/>
  <c r="F21" i="5" s="1"/>
  <c r="G13" i="5"/>
  <c r="H13" i="5"/>
  <c r="H21" i="5" s="1"/>
  <c r="I13" i="5"/>
  <c r="I21" i="5" s="1"/>
  <c r="C21" i="5"/>
  <c r="G21" i="5"/>
  <c r="C20" i="5"/>
  <c r="D20" i="5"/>
  <c r="E20" i="5"/>
  <c r="F20" i="5"/>
  <c r="G20" i="5"/>
  <c r="H20" i="5"/>
  <c r="I20" i="5"/>
  <c r="C19" i="5"/>
  <c r="D19" i="5"/>
  <c r="G19" i="5"/>
  <c r="C18" i="5"/>
  <c r="D18" i="5"/>
  <c r="E18" i="5"/>
  <c r="G18" i="5"/>
  <c r="H18" i="5"/>
  <c r="I18" i="5"/>
  <c r="C17" i="5"/>
  <c r="G17" i="5"/>
  <c r="B25" i="5"/>
  <c r="B24" i="5"/>
  <c r="B23" i="5"/>
  <c r="B22" i="5"/>
  <c r="B21" i="5"/>
  <c r="B20" i="5"/>
  <c r="B13" i="5"/>
  <c r="B14" i="5"/>
  <c r="H16" i="5"/>
  <c r="G16" i="5"/>
  <c r="F16" i="5"/>
  <c r="E16" i="5"/>
  <c r="D16" i="5"/>
  <c r="C16" i="5"/>
  <c r="B16" i="5"/>
  <c r="H15" i="5"/>
  <c r="G15" i="5"/>
  <c r="F15" i="5"/>
  <c r="E15" i="5"/>
  <c r="D15" i="5"/>
  <c r="C15" i="5"/>
  <c r="B15" i="5"/>
  <c r="H14" i="5"/>
  <c r="G14" i="5"/>
  <c r="F14" i="5"/>
  <c r="E14" i="5"/>
  <c r="D14" i="5"/>
  <c r="C14" i="5"/>
  <c r="G6" i="5"/>
  <c r="F6" i="5"/>
  <c r="E6" i="5"/>
  <c r="I5" i="5"/>
  <c r="H5" i="5"/>
  <c r="G5" i="5"/>
  <c r="F5" i="5"/>
  <c r="E5" i="5"/>
  <c r="C5" i="5"/>
  <c r="B5" i="5"/>
  <c r="I4" i="5"/>
  <c r="H4" i="5"/>
  <c r="G4" i="5"/>
  <c r="F4" i="5"/>
  <c r="E4" i="5"/>
  <c r="D4" i="5"/>
  <c r="C4" i="5"/>
  <c r="B4" i="5"/>
  <c r="H3" i="5"/>
  <c r="G3" i="5"/>
  <c r="F3" i="5"/>
  <c r="E3" i="5"/>
  <c r="D3" i="5"/>
  <c r="C3" i="5"/>
  <c r="F17" i="5" l="1"/>
  <c r="I17" i="5"/>
  <c r="E17" i="5"/>
  <c r="F18" i="5"/>
  <c r="H17" i="5"/>
  <c r="D17" i="5"/>
  <c r="H19" i="5"/>
  <c r="I19" i="5"/>
  <c r="E19" i="5"/>
  <c r="F19" i="5"/>
  <c r="B19" i="5"/>
  <c r="B18" i="5"/>
  <c r="B17" i="5"/>
  <c r="H16" i="3"/>
  <c r="H14" i="3"/>
  <c r="H15" i="3"/>
  <c r="G16" i="3"/>
  <c r="G14" i="3"/>
  <c r="G15" i="3"/>
  <c r="F16" i="3"/>
  <c r="F14" i="3"/>
  <c r="F15" i="3"/>
  <c r="E16" i="3"/>
  <c r="E14" i="3"/>
  <c r="E15" i="3"/>
  <c r="E25" i="3"/>
  <c r="F25" i="3"/>
  <c r="G25" i="3"/>
  <c r="H25" i="3"/>
  <c r="E24" i="3"/>
  <c r="F24" i="3"/>
  <c r="G24" i="3"/>
  <c r="H24" i="3"/>
  <c r="E23" i="3"/>
  <c r="F23" i="3"/>
  <c r="G23" i="3"/>
  <c r="H23" i="3"/>
  <c r="E22" i="3"/>
  <c r="F22" i="3"/>
  <c r="G22" i="3"/>
  <c r="H22" i="3"/>
  <c r="E21" i="3"/>
  <c r="F21" i="3"/>
  <c r="G21" i="3"/>
  <c r="H21" i="3"/>
  <c r="E19" i="3"/>
  <c r="F19" i="3"/>
  <c r="G19" i="3"/>
  <c r="H19" i="3"/>
  <c r="E18" i="3"/>
  <c r="F18" i="3"/>
  <c r="G18" i="3"/>
  <c r="H18" i="3"/>
  <c r="E20" i="3"/>
  <c r="E17" i="3" s="1"/>
  <c r="F20" i="3"/>
  <c r="G20" i="3"/>
  <c r="H20" i="3"/>
  <c r="I20" i="3"/>
  <c r="I17" i="3" s="1"/>
  <c r="F17" i="3"/>
  <c r="G17" i="3"/>
  <c r="H17" i="3"/>
  <c r="F13" i="3"/>
  <c r="G13" i="3"/>
  <c r="H13" i="3"/>
  <c r="I13" i="3"/>
  <c r="I5" i="3"/>
  <c r="I4" i="3"/>
  <c r="H5" i="3"/>
  <c r="H4" i="3"/>
  <c r="H3" i="3"/>
  <c r="G6" i="3"/>
  <c r="G5" i="3"/>
  <c r="G4" i="3"/>
  <c r="G3" i="3"/>
  <c r="F6" i="3"/>
  <c r="F3" i="3"/>
  <c r="F5" i="3"/>
  <c r="F4" i="3"/>
  <c r="E13" i="3"/>
  <c r="E6" i="3"/>
  <c r="E5" i="3"/>
  <c r="E4" i="3"/>
  <c r="E3" i="3"/>
  <c r="D14" i="3"/>
  <c r="D16" i="3"/>
  <c r="D15" i="3"/>
  <c r="D21" i="3"/>
  <c r="D25" i="3"/>
  <c r="D24" i="3"/>
  <c r="D23" i="3"/>
  <c r="D22" i="3"/>
  <c r="D20" i="3"/>
  <c r="D19" i="3" s="1"/>
  <c r="D17" i="3"/>
  <c r="D13" i="3"/>
  <c r="D4" i="3"/>
  <c r="D3" i="3"/>
  <c r="C16" i="3"/>
  <c r="C14" i="3"/>
  <c r="C15" i="3"/>
  <c r="C25" i="3"/>
  <c r="C24" i="3"/>
  <c r="C23" i="3"/>
  <c r="C22" i="3"/>
  <c r="C21" i="3"/>
  <c r="C20" i="3"/>
  <c r="C19" i="3"/>
  <c r="C18" i="3"/>
  <c r="C17" i="3"/>
  <c r="C13" i="3"/>
  <c r="C5" i="3"/>
  <c r="C4" i="3"/>
  <c r="C3" i="3"/>
  <c r="B17" i="3"/>
  <c r="F17" i="1"/>
  <c r="D17" i="1"/>
  <c r="E17" i="1"/>
  <c r="G17" i="1"/>
  <c r="H17" i="1"/>
  <c r="I17" i="1"/>
  <c r="J17" i="1"/>
  <c r="C17" i="1"/>
  <c r="B17" i="1"/>
  <c r="B16" i="3"/>
  <c r="B14" i="3"/>
  <c r="B15" i="3"/>
  <c r="B20" i="3"/>
  <c r="B5" i="3"/>
  <c r="B4" i="3"/>
  <c r="B3" i="3"/>
  <c r="B13" i="3" s="1"/>
  <c r="C15" i="1"/>
  <c r="J16" i="1"/>
  <c r="J14" i="1"/>
  <c r="J15" i="1"/>
  <c r="J9" i="1"/>
  <c r="J8" i="1"/>
  <c r="J7" i="1"/>
  <c r="J6" i="1"/>
  <c r="J5" i="1"/>
  <c r="J20" i="1" s="1"/>
  <c r="J4" i="1"/>
  <c r="J3" i="1"/>
  <c r="J13" i="1" s="1"/>
  <c r="J19" i="1" s="1"/>
  <c r="I16" i="1"/>
  <c r="I14" i="1"/>
  <c r="I15" i="1"/>
  <c r="I13" i="1"/>
  <c r="I5" i="1"/>
  <c r="I4" i="1"/>
  <c r="I3" i="1"/>
  <c r="I20" i="1" s="1"/>
  <c r="H15" i="1"/>
  <c r="H16" i="1"/>
  <c r="H14" i="1"/>
  <c r="H9" i="1"/>
  <c r="H8" i="1"/>
  <c r="H7" i="1"/>
  <c r="H6" i="1"/>
  <c r="H5" i="1"/>
  <c r="H4" i="1"/>
  <c r="H13" i="1" s="1"/>
  <c r="H3" i="1"/>
  <c r="G14" i="1"/>
  <c r="G16" i="1"/>
  <c r="G15" i="1"/>
  <c r="G11" i="1"/>
  <c r="G10" i="1"/>
  <c r="G9" i="1"/>
  <c r="G8" i="1"/>
  <c r="G7" i="1"/>
  <c r="G6" i="1"/>
  <c r="G5" i="1"/>
  <c r="G4" i="1"/>
  <c r="G3" i="1"/>
  <c r="G13" i="1" s="1"/>
  <c r="F16" i="1"/>
  <c r="F14" i="1"/>
  <c r="E14" i="1"/>
  <c r="D14" i="1"/>
  <c r="C14" i="1"/>
  <c r="B14" i="1"/>
  <c r="F15" i="1"/>
  <c r="F12" i="1"/>
  <c r="F11" i="1"/>
  <c r="F10" i="1"/>
  <c r="F9" i="1"/>
  <c r="F8" i="1"/>
  <c r="F7" i="1"/>
  <c r="F6" i="1"/>
  <c r="F5" i="1"/>
  <c r="F4" i="1"/>
  <c r="F13" i="1" s="1"/>
  <c r="F3" i="1"/>
  <c r="F20" i="1" s="1"/>
  <c r="E16" i="1"/>
  <c r="I22" i="3" l="1"/>
  <c r="I18" i="3"/>
  <c r="I23" i="3"/>
  <c r="I24" i="3"/>
  <c r="I19" i="3"/>
  <c r="I21" i="3"/>
  <c r="I25" i="3"/>
  <c r="D18" i="3"/>
  <c r="B25" i="3"/>
  <c r="B18" i="3"/>
  <c r="B24" i="3"/>
  <c r="B22" i="3"/>
  <c r="B23" i="3"/>
  <c r="B19" i="3"/>
  <c r="B21" i="3"/>
  <c r="I19" i="1"/>
  <c r="I24" i="1"/>
  <c r="I23" i="1"/>
  <c r="I22" i="1"/>
  <c r="I18" i="1"/>
  <c r="I25" i="1"/>
  <c r="I21" i="1"/>
  <c r="F18" i="1"/>
  <c r="F22" i="1"/>
  <c r="F25" i="1"/>
  <c r="F21" i="1"/>
  <c r="F24" i="1"/>
  <c r="F19" i="1"/>
  <c r="F23" i="1"/>
  <c r="J18" i="1"/>
  <c r="J24" i="1"/>
  <c r="J21" i="1"/>
  <c r="J23" i="1"/>
  <c r="J22" i="1"/>
  <c r="J25" i="1"/>
  <c r="H20" i="1"/>
  <c r="G20" i="1"/>
  <c r="D15" i="1"/>
  <c r="D16" i="1"/>
  <c r="C16" i="1"/>
  <c r="B16" i="1"/>
  <c r="E15" i="1"/>
  <c r="E12" i="1"/>
  <c r="E11" i="1"/>
  <c r="E10" i="1"/>
  <c r="E9" i="1"/>
  <c r="E8" i="1"/>
  <c r="E7" i="1"/>
  <c r="E6" i="1"/>
  <c r="E5" i="1"/>
  <c r="E4" i="1"/>
  <c r="E13" i="1" s="1"/>
  <c r="E3" i="1"/>
  <c r="D6" i="1"/>
  <c r="D3" i="1"/>
  <c r="D20" i="1" s="1"/>
  <c r="D7" i="1"/>
  <c r="D5" i="1"/>
  <c r="D4" i="1"/>
  <c r="D10" i="1"/>
  <c r="B15" i="1"/>
  <c r="D9" i="1"/>
  <c r="D8" i="1"/>
  <c r="C7" i="1"/>
  <c r="C6" i="1"/>
  <c r="C5" i="1"/>
  <c r="C4" i="1"/>
  <c r="C3" i="1"/>
  <c r="B7" i="1"/>
  <c r="B6" i="1"/>
  <c r="B5" i="1"/>
  <c r="B4" i="1"/>
  <c r="B3" i="1"/>
  <c r="E20" i="1" l="1"/>
  <c r="G19" i="1"/>
  <c r="G23" i="1"/>
  <c r="G18" i="1"/>
  <c r="G25" i="1"/>
  <c r="G21" i="1"/>
  <c r="G24" i="1"/>
  <c r="G22" i="1"/>
  <c r="C20" i="1"/>
  <c r="C13" i="1"/>
  <c r="H25" i="1"/>
  <c r="H21" i="1"/>
  <c r="H18" i="1"/>
  <c r="H23" i="1"/>
  <c r="H19" i="1"/>
  <c r="H22" i="1"/>
  <c r="H24" i="1"/>
  <c r="B13" i="1"/>
  <c r="D13" i="1"/>
  <c r="D24" i="1" s="1"/>
  <c r="B20" i="1"/>
  <c r="C25" i="1"/>
  <c r="D22" i="1" l="1"/>
  <c r="D23" i="1"/>
  <c r="D21" i="1"/>
  <c r="D19" i="1"/>
  <c r="B24" i="1"/>
  <c r="B18" i="1"/>
  <c r="B19" i="1"/>
  <c r="C18" i="1"/>
  <c r="C19" i="1"/>
  <c r="C23" i="1"/>
  <c r="E18" i="1"/>
  <c r="E24" i="1"/>
  <c r="E19" i="1"/>
  <c r="E25" i="1"/>
  <c r="E23" i="1"/>
  <c r="E22" i="1"/>
  <c r="E21" i="1"/>
  <c r="D18" i="1"/>
  <c r="B23" i="1"/>
  <c r="C24" i="1"/>
  <c r="B25" i="1"/>
  <c r="D25" i="1"/>
  <c r="C21" i="1"/>
  <c r="C22" i="1"/>
  <c r="B21" i="1"/>
  <c r="B22" i="1"/>
</calcChain>
</file>

<file path=xl/sharedStrings.xml><?xml version="1.0" encoding="utf-8"?>
<sst xmlns="http://schemas.openxmlformats.org/spreadsheetml/2006/main" count="97" uniqueCount="35">
  <si>
    <t>day1</t>
    <phoneticPr fontId="1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</si>
  <si>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</si>
  <si>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</si>
  <si>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</si>
  <si>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</si>
  <si>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</si>
  <si>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</si>
  <si>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</si>
  <si>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</si>
  <si>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</si>
  <si>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風呂</t>
    <rPh sb="0" eb="2">
      <t>フr</t>
    </rPh>
    <phoneticPr fontId="1"/>
  </si>
  <si>
    <t>average</t>
    <phoneticPr fontId="1"/>
  </si>
  <si>
    <t>SD</t>
    <phoneticPr fontId="1"/>
  </si>
  <si>
    <t>ave+SD</t>
    <rPh sb="0" eb="1">
      <t>ヒョ</t>
    </rPh>
    <phoneticPr fontId="1"/>
  </si>
  <si>
    <t>ave+2SD</t>
    <rPh sb="0" eb="1">
      <t>ヒョ</t>
    </rPh>
    <phoneticPr fontId="1"/>
  </si>
  <si>
    <t>ave+3SD</t>
    <rPh sb="0" eb="1">
      <t>ヒョ</t>
    </rPh>
    <phoneticPr fontId="1"/>
  </si>
  <si>
    <t>ave+4SD</t>
    <phoneticPr fontId="1"/>
  </si>
  <si>
    <t>ave+5SD</t>
    <phoneticPr fontId="1"/>
  </si>
  <si>
    <t>ドライヤー</t>
    <phoneticPr fontId="1"/>
  </si>
  <si>
    <t>洗面所支度</t>
    <rPh sb="0" eb="2">
      <t>シタク</t>
    </rPh>
    <phoneticPr fontId="1"/>
  </si>
  <si>
    <t>ave-SD</t>
    <phoneticPr fontId="1"/>
  </si>
  <si>
    <t>朝食</t>
    <rPh sb="0" eb="2">
      <t>チョウショk</t>
    </rPh>
    <phoneticPr fontId="1"/>
  </si>
  <si>
    <t>expect(ave)</t>
    <phoneticPr fontId="1"/>
  </si>
  <si>
    <t>expect(last)</t>
    <phoneticPr fontId="1"/>
  </si>
  <si>
    <t>着替え</t>
    <phoneticPr fontId="1"/>
  </si>
  <si>
    <t>expect(first)</t>
    <phoneticPr fontId="1"/>
  </si>
  <si>
    <t>歯磨き</t>
    <phoneticPr fontId="1"/>
  </si>
  <si>
    <t>化粧</t>
    <rPh sb="0" eb="2">
      <t>ケショ</t>
    </rPh>
    <phoneticPr fontId="1"/>
  </si>
  <si>
    <t>最終確認</t>
    <phoneticPr fontId="1"/>
  </si>
  <si>
    <t>その他</t>
    <phoneticPr fontId="1"/>
  </si>
  <si>
    <t>助川 友理</t>
    <rPh sb="0" eb="2">
      <t>スケガw</t>
    </rPh>
    <phoneticPr fontId="1"/>
  </si>
  <si>
    <t>ave-2SD</t>
    <phoneticPr fontId="1"/>
  </si>
  <si>
    <t>ave-3SD</t>
    <phoneticPr fontId="1"/>
  </si>
  <si>
    <t>髪</t>
    <rPh sb="0" eb="1">
      <t>カm</t>
    </rPh>
    <phoneticPr fontId="1"/>
  </si>
  <si>
    <t>助川知佳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</si>
</sst>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4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8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4" xfId="0" applyFill="1" applyBorder="1">
      <alignment vertical="center"/>
    </xf>
    <xf numFmtId="0" fontId="0" fillId="2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2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2" borderId="20" xfId="0" applyFill="1" applyBorder="1">
      <alignment vertical="center"/>
    </xf>
    <xf numFmtId="0" fontId="0" fillId="4" borderId="20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4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7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3F9E-553D-2745-A326-9A8507085FAF}">
  <dimension ref="A1:I25"/>
  <sheetViews>
    <sheetView tabSelected="1" topLeftCell="A2" workbookViewId="0">
      <selection activeCell="A21" sqref="A21"/>
    </sheetView>
  </sheetViews>
  <sheetFormatPr baseColWidth="10" defaultRowHeight="20"/>
  <sheetData>
    <row r="1" spans="1:9" ht="21" thickBot="1">
      <c r="A1" s="47" t="s">
        <v>34</v>
      </c>
      <c r="B1" s="48"/>
      <c r="C1" s="48"/>
      <c r="D1" s="48"/>
      <c r="E1" s="48"/>
      <c r="F1" s="48"/>
      <c r="G1" s="48"/>
      <c r="H1" s="48"/>
      <c r="I1" s="49"/>
    </row>
    <row r="2" spans="1:9" ht="21" thickBot="1">
      <c r="A2" s="2"/>
      <c r="B2" s="39" t="s">
        <v>10</v>
      </c>
      <c r="C2" s="35" t="s">
        <v>33</v>
      </c>
      <c r="D2" s="35" t="s">
        <v>21</v>
      </c>
      <c r="E2" s="35" t="s">
        <v>24</v>
      </c>
      <c r="F2" s="35" t="s">
        <v>26</v>
      </c>
      <c r="G2" s="35" t="s">
        <v>27</v>
      </c>
      <c r="H2" s="35" t="s">
        <v>28</v>
      </c>
      <c r="I2" s="36" t="s">
        <v>29</v>
      </c>
    </row>
    <row r="3" spans="1:9">
      <c r="A3" s="27" t="s">
        <v>0</v>
      </c>
      <c r="B3" s="50">
        <f>16*60+19</f>
        <v>979</v>
      </c>
      <c r="C3" s="22">
        <f>11*60+25</f>
        <v>685</v>
      </c>
      <c r="D3" s="22">
        <f>10*60+53</f>
        <v>653</v>
      </c>
      <c r="E3" s="22">
        <f>7*60+19</f>
        <v>439</v>
      </c>
      <c r="F3" s="22">
        <f>7*60+19</f>
        <v>439</v>
      </c>
      <c r="G3" s="22">
        <f>17*60+43</f>
        <v>1063</v>
      </c>
      <c r="H3" s="22">
        <f>4*60+41</f>
        <v>281</v>
      </c>
      <c r="I3" s="23">
        <v>4</v>
      </c>
    </row>
    <row r="4" spans="1:9">
      <c r="A4" s="28" t="s">
        <v>1</v>
      </c>
      <c r="B4" s="37">
        <f>18*60+55</f>
        <v>1135</v>
      </c>
      <c r="C4" s="1">
        <f>13*60+17</f>
        <v>797</v>
      </c>
      <c r="D4" s="1">
        <f>2*60+36</f>
        <v>156</v>
      </c>
      <c r="E4" s="1">
        <f>2*60+54</f>
        <v>174</v>
      </c>
      <c r="F4" s="1">
        <f>4*60+11</f>
        <v>251</v>
      </c>
      <c r="G4" s="1">
        <f>23*60+21</f>
        <v>1401</v>
      </c>
      <c r="H4" s="1">
        <f>9*60+17</f>
        <v>557</v>
      </c>
      <c r="I4" s="10">
        <f>15*60+8</f>
        <v>908</v>
      </c>
    </row>
    <row r="5" spans="1:9">
      <c r="A5" s="28" t="s">
        <v>2</v>
      </c>
      <c r="B5" s="37">
        <f>18*60+32</f>
        <v>1112</v>
      </c>
      <c r="C5" s="1">
        <f>13*60+31</f>
        <v>811</v>
      </c>
      <c r="D5" s="1"/>
      <c r="E5" s="1">
        <f>10*60+17</f>
        <v>617</v>
      </c>
      <c r="F5" s="1">
        <f>3*60+35</f>
        <v>215</v>
      </c>
      <c r="G5" s="1">
        <f>16*60+18</f>
        <v>978</v>
      </c>
      <c r="H5" s="1">
        <f>2*60+36</f>
        <v>156</v>
      </c>
      <c r="I5" s="10">
        <f>8*60+17</f>
        <v>497</v>
      </c>
    </row>
    <row r="6" spans="1:9">
      <c r="A6" s="28" t="s">
        <v>3</v>
      </c>
      <c r="B6" s="37"/>
      <c r="C6" s="1"/>
      <c r="D6" s="1"/>
      <c r="E6" s="1">
        <f>8*60+29</f>
        <v>509</v>
      </c>
      <c r="F6" s="1">
        <f>5*60+8</f>
        <v>308</v>
      </c>
      <c r="G6" s="1">
        <f>14*60</f>
        <v>840</v>
      </c>
      <c r="H6" s="1"/>
      <c r="I6" s="10"/>
    </row>
    <row r="7" spans="1:9">
      <c r="A7" s="28" t="s">
        <v>4</v>
      </c>
      <c r="B7" s="37"/>
      <c r="C7" s="1"/>
      <c r="D7" s="1"/>
      <c r="E7" s="1"/>
      <c r="F7" s="1"/>
      <c r="G7" s="1"/>
      <c r="H7" s="1"/>
      <c r="I7" s="10"/>
    </row>
    <row r="8" spans="1:9">
      <c r="A8" s="28" t="s">
        <v>5</v>
      </c>
      <c r="B8" s="37"/>
      <c r="C8" s="1"/>
      <c r="D8" s="1"/>
      <c r="E8" s="1"/>
      <c r="F8" s="1"/>
      <c r="G8" s="1"/>
      <c r="H8" s="1"/>
      <c r="I8" s="10"/>
    </row>
    <row r="9" spans="1:9">
      <c r="A9" s="28" t="s">
        <v>6</v>
      </c>
      <c r="B9" s="37"/>
      <c r="C9" s="1"/>
      <c r="D9" s="1"/>
      <c r="E9" s="1"/>
      <c r="F9" s="1"/>
      <c r="G9" s="1"/>
      <c r="H9" s="1"/>
      <c r="I9" s="10"/>
    </row>
    <row r="10" spans="1:9">
      <c r="A10" s="28" t="s">
        <v>7</v>
      </c>
      <c r="B10" s="37"/>
      <c r="C10" s="1"/>
      <c r="D10" s="1"/>
      <c r="E10" s="1"/>
      <c r="F10" s="1"/>
      <c r="G10" s="1"/>
      <c r="H10" s="1"/>
      <c r="I10" s="10"/>
    </row>
    <row r="11" spans="1:9">
      <c r="A11" s="28" t="s">
        <v>8</v>
      </c>
      <c r="B11" s="37"/>
      <c r="C11" s="1"/>
      <c r="D11" s="1"/>
      <c r="E11" s="1"/>
      <c r="F11" s="1"/>
      <c r="G11" s="1"/>
      <c r="H11" s="1"/>
      <c r="I11" s="10"/>
    </row>
    <row r="12" spans="1:9" ht="21" thickBot="1">
      <c r="A12" s="29" t="s">
        <v>9</v>
      </c>
      <c r="B12" s="40"/>
      <c r="C12" s="14"/>
      <c r="D12" s="14"/>
      <c r="E12" s="14"/>
      <c r="F12" s="14"/>
      <c r="G12" s="14"/>
      <c r="H12" s="14"/>
      <c r="I12" s="15"/>
    </row>
    <row r="13" spans="1:9" ht="21" thickTop="1">
      <c r="A13" s="28" t="s">
        <v>12</v>
      </c>
      <c r="B13" s="37">
        <f>STDEV(B3:B12)/60</f>
        <v>1.4035998691196123</v>
      </c>
      <c r="C13" s="37">
        <f t="shared" ref="C13:I13" si="0">STDEV(C3:C12)/60</f>
        <v>1.1510060012071244</v>
      </c>
      <c r="D13" s="37">
        <f t="shared" si="0"/>
        <v>5.8572011708285689</v>
      </c>
      <c r="E13" s="37">
        <f t="shared" si="0"/>
        <v>3.1437290607505295</v>
      </c>
      <c r="F13" s="37">
        <f t="shared" si="0"/>
        <v>1.6377703339194623</v>
      </c>
      <c r="G13" s="37">
        <f t="shared" si="0"/>
        <v>3.9787979759386292</v>
      </c>
      <c r="H13" s="37">
        <f t="shared" si="0"/>
        <v>3.4197276261475911</v>
      </c>
      <c r="I13" s="38">
        <f t="shared" si="0"/>
        <v>7.5436568890200233</v>
      </c>
    </row>
    <row r="14" spans="1:9" ht="21" thickBot="1">
      <c r="A14" s="30" t="s">
        <v>25</v>
      </c>
      <c r="B14" s="37">
        <f>20*60</f>
        <v>1200</v>
      </c>
      <c r="C14" s="1">
        <f>15*60</f>
        <v>900</v>
      </c>
      <c r="D14" s="1">
        <f>(10*60+2*60)/2</f>
        <v>360</v>
      </c>
      <c r="E14" s="1">
        <f>10*60</f>
        <v>600</v>
      </c>
      <c r="F14" s="1">
        <f>5*60</f>
        <v>300</v>
      </c>
      <c r="G14" s="1">
        <f>15*60</f>
        <v>900</v>
      </c>
      <c r="H14" s="1">
        <f>5*60</f>
        <v>300</v>
      </c>
      <c r="I14" s="10">
        <v>0</v>
      </c>
    </row>
    <row r="15" spans="1:9" ht="21" thickBot="1">
      <c r="A15" s="2" t="s">
        <v>22</v>
      </c>
      <c r="B15" s="37">
        <f>(20*60+15*60*2)/3</f>
        <v>1000</v>
      </c>
      <c r="C15" s="1">
        <f>(15*60*2+12*60)/3</f>
        <v>840</v>
      </c>
      <c r="D15" s="1">
        <f>(10*60+2*60)/2</f>
        <v>360</v>
      </c>
      <c r="E15" s="1">
        <f>10*60</f>
        <v>600</v>
      </c>
      <c r="F15" s="1">
        <f>(5*60+3*60*3)/4</f>
        <v>210</v>
      </c>
      <c r="G15" s="1">
        <f>15*60</f>
        <v>900</v>
      </c>
      <c r="H15" s="1">
        <f>(5*60*2+10*60+15*60)/4</f>
        <v>525</v>
      </c>
      <c r="I15" s="10">
        <v>0</v>
      </c>
    </row>
    <row r="16" spans="1:9">
      <c r="A16" s="31" t="s">
        <v>23</v>
      </c>
      <c r="B16" s="37">
        <f>15*60</f>
        <v>900</v>
      </c>
      <c r="C16" s="1">
        <f>15*60</f>
        <v>900</v>
      </c>
      <c r="D16" s="1">
        <f>(10*60+2*60)/2</f>
        <v>360</v>
      </c>
      <c r="E16" s="1">
        <f>10*60</f>
        <v>600</v>
      </c>
      <c r="F16" s="1">
        <f>3*60</f>
        <v>180</v>
      </c>
      <c r="G16" s="1">
        <f>15*60</f>
        <v>900</v>
      </c>
      <c r="H16" s="1">
        <f>15*60</f>
        <v>900</v>
      </c>
      <c r="I16" s="10">
        <v>0</v>
      </c>
    </row>
    <row r="17" spans="1:9" s="3" customFormat="1">
      <c r="A17" s="32" t="s">
        <v>32</v>
      </c>
      <c r="B17" s="8">
        <f>(B20-3*B13)</f>
        <v>13.711422614863384</v>
      </c>
      <c r="C17" s="8">
        <f t="shared" ref="C17:I17" si="1">(C20-3*C13)</f>
        <v>9.2858708852675154</v>
      </c>
      <c r="D17" s="8">
        <f t="shared" si="1"/>
        <v>-10.829936845819041</v>
      </c>
      <c r="E17" s="8">
        <f t="shared" si="1"/>
        <v>-2.185353848918254</v>
      </c>
      <c r="F17" s="8">
        <f t="shared" si="1"/>
        <v>0.14085566490827972</v>
      </c>
      <c r="G17" s="8">
        <f t="shared" si="1"/>
        <v>5.905272738850778</v>
      </c>
      <c r="H17" s="8">
        <f t="shared" si="1"/>
        <v>-4.7369606562205515</v>
      </c>
      <c r="I17" s="11">
        <f t="shared" si="1"/>
        <v>-14.80319288928229</v>
      </c>
    </row>
    <row r="18" spans="1:9" s="3" customFormat="1">
      <c r="A18" s="32" t="s">
        <v>31</v>
      </c>
      <c r="B18" s="8">
        <f>(B20-2*B13)</f>
        <v>15.115022483982996</v>
      </c>
      <c r="C18" s="8">
        <f t="shared" ref="C18:I18" si="2">(C20-2*C13)</f>
        <v>10.436876886474639</v>
      </c>
      <c r="D18" s="8">
        <f t="shared" si="2"/>
        <v>-4.9727356749904716</v>
      </c>
      <c r="E18" s="8">
        <f t="shared" si="2"/>
        <v>0.95837521183227459</v>
      </c>
      <c r="F18" s="8">
        <f t="shared" si="2"/>
        <v>1.7786259988277417</v>
      </c>
      <c r="G18" s="8">
        <f t="shared" si="2"/>
        <v>9.8840707147894058</v>
      </c>
      <c r="H18" s="8">
        <f t="shared" si="2"/>
        <v>-1.31723303007296</v>
      </c>
      <c r="I18" s="11">
        <f t="shared" si="2"/>
        <v>-7.2595360002622682</v>
      </c>
    </row>
    <row r="19" spans="1:9" s="3" customFormat="1">
      <c r="A19" s="32" t="s">
        <v>20</v>
      </c>
      <c r="B19" s="8">
        <f>(B20-B13)</f>
        <v>16.518622353102607</v>
      </c>
      <c r="C19" s="8">
        <f t="shared" ref="C19:I19" si="3">(C20-C13)</f>
        <v>11.587882887681765</v>
      </c>
      <c r="D19" s="8">
        <f t="shared" si="3"/>
        <v>0.8844654958380973</v>
      </c>
      <c r="E19" s="8">
        <f t="shared" si="3"/>
        <v>4.1021042725828041</v>
      </c>
      <c r="F19" s="8">
        <f t="shared" si="3"/>
        <v>3.4163963327472038</v>
      </c>
      <c r="G19" s="8">
        <f t="shared" si="3"/>
        <v>13.862868690728035</v>
      </c>
      <c r="H19" s="8">
        <f t="shared" si="3"/>
        <v>2.1024945960746311</v>
      </c>
      <c r="I19" s="11">
        <f t="shared" si="3"/>
        <v>0.2841208887577551</v>
      </c>
    </row>
    <row r="20" spans="1:9" s="5" customFormat="1">
      <c r="A20" s="33" t="s">
        <v>11</v>
      </c>
      <c r="B20" s="6">
        <f>AVERAGE(B3:B12)/60</f>
        <v>17.922222222222221</v>
      </c>
      <c r="C20" s="6">
        <f t="shared" ref="C20:I20" si="4">AVERAGE(C3:C12)/60</f>
        <v>12.738888888888889</v>
      </c>
      <c r="D20" s="6">
        <f t="shared" si="4"/>
        <v>6.7416666666666663</v>
      </c>
      <c r="E20" s="6">
        <f t="shared" si="4"/>
        <v>7.2458333333333336</v>
      </c>
      <c r="F20" s="6">
        <f t="shared" si="4"/>
        <v>5.0541666666666663</v>
      </c>
      <c r="G20" s="6">
        <f t="shared" si="4"/>
        <v>17.841666666666665</v>
      </c>
      <c r="H20" s="6">
        <f t="shared" si="4"/>
        <v>5.5222222222222221</v>
      </c>
      <c r="I20" s="12">
        <f t="shared" si="4"/>
        <v>7.8277777777777784</v>
      </c>
    </row>
    <row r="21" spans="1:9" s="5" customFormat="1">
      <c r="A21" s="33" t="s">
        <v>13</v>
      </c>
      <c r="B21" s="6">
        <f>(B20+B13)</f>
        <v>19.325822091341834</v>
      </c>
      <c r="C21" s="6">
        <f t="shared" ref="C21:I21" si="5">(C20+C13)</f>
        <v>13.889894890096013</v>
      </c>
      <c r="D21" s="6">
        <f t="shared" si="5"/>
        <v>12.598867837495234</v>
      </c>
      <c r="E21" s="6">
        <f t="shared" si="5"/>
        <v>10.389562394083864</v>
      </c>
      <c r="F21" s="6">
        <f t="shared" si="5"/>
        <v>6.6919370005861287</v>
      </c>
      <c r="G21" s="6">
        <f t="shared" si="5"/>
        <v>21.820464642605295</v>
      </c>
      <c r="H21" s="6">
        <f t="shared" si="5"/>
        <v>8.9419498483698128</v>
      </c>
      <c r="I21" s="12">
        <f t="shared" si="5"/>
        <v>15.371434666797802</v>
      </c>
    </row>
    <row r="22" spans="1:9" s="4" customFormat="1">
      <c r="A22" s="34" t="s">
        <v>14</v>
      </c>
      <c r="B22" s="9">
        <f>B20+2*B13</f>
        <v>20.729421960461444</v>
      </c>
      <c r="C22" s="9">
        <f t="shared" ref="C22:I22" si="6">C20+2*C13</f>
        <v>15.040900891303139</v>
      </c>
      <c r="D22" s="9">
        <f t="shared" si="6"/>
        <v>18.456069008323805</v>
      </c>
      <c r="E22" s="9">
        <f t="shared" si="6"/>
        <v>13.533291454834393</v>
      </c>
      <c r="F22" s="9">
        <f t="shared" si="6"/>
        <v>8.3297073345055903</v>
      </c>
      <c r="G22" s="9">
        <f t="shared" si="6"/>
        <v>25.799262618543924</v>
      </c>
      <c r="H22" s="9">
        <f t="shared" si="6"/>
        <v>12.361677474517403</v>
      </c>
      <c r="I22" s="13">
        <f t="shared" si="6"/>
        <v>22.915091555817824</v>
      </c>
    </row>
    <row r="23" spans="1:9" s="4" customFormat="1">
      <c r="A23" s="34" t="s">
        <v>15</v>
      </c>
      <c r="B23" s="9">
        <f>B20+3*B13</f>
        <v>22.133021829581057</v>
      </c>
      <c r="C23" s="9">
        <f t="shared" ref="C23:I23" si="7">C20+3*C13</f>
        <v>16.191906892510261</v>
      </c>
      <c r="D23" s="9">
        <f t="shared" si="7"/>
        <v>24.313270179152376</v>
      </c>
      <c r="E23" s="9">
        <f t="shared" si="7"/>
        <v>16.677020515584921</v>
      </c>
      <c r="F23" s="9">
        <f t="shared" si="7"/>
        <v>9.9674776684250528</v>
      </c>
      <c r="G23" s="9">
        <f t="shared" si="7"/>
        <v>29.778060594482554</v>
      </c>
      <c r="H23" s="9">
        <f t="shared" si="7"/>
        <v>15.781405100664996</v>
      </c>
      <c r="I23" s="13">
        <f t="shared" si="7"/>
        <v>30.458748444837848</v>
      </c>
    </row>
    <row r="24" spans="1:9" s="5" customFormat="1">
      <c r="A24" s="33" t="s">
        <v>16</v>
      </c>
      <c r="B24" s="6">
        <f>B20+4*B13</f>
        <v>23.536621698700671</v>
      </c>
      <c r="C24" s="6">
        <f t="shared" ref="C24:I24" si="8">C20+4*C13</f>
        <v>17.342912893717386</v>
      </c>
      <c r="D24" s="6">
        <f t="shared" si="8"/>
        <v>30.170471349980943</v>
      </c>
      <c r="E24" s="6">
        <f t="shared" si="8"/>
        <v>19.820749576335452</v>
      </c>
      <c r="F24" s="6">
        <f t="shared" si="8"/>
        <v>11.605248002344515</v>
      </c>
      <c r="G24" s="6">
        <f t="shared" si="8"/>
        <v>33.75685857042118</v>
      </c>
      <c r="H24" s="6">
        <f t="shared" si="8"/>
        <v>19.201132726812588</v>
      </c>
      <c r="I24" s="12">
        <f t="shared" si="8"/>
        <v>38.002405333857872</v>
      </c>
    </row>
    <row r="25" spans="1:9" s="5" customFormat="1" ht="21" thickBot="1">
      <c r="A25" s="7" t="s">
        <v>17</v>
      </c>
      <c r="B25" s="17">
        <f>B20+5*B13</f>
        <v>24.940221567820281</v>
      </c>
      <c r="C25" s="17">
        <f t="shared" ref="C25:I25" si="9">C20+5*C13</f>
        <v>18.493918894924512</v>
      </c>
      <c r="D25" s="17">
        <f t="shared" si="9"/>
        <v>36.02767252080951</v>
      </c>
      <c r="E25" s="17">
        <f t="shared" si="9"/>
        <v>22.964478637085982</v>
      </c>
      <c r="F25" s="17">
        <f t="shared" si="9"/>
        <v>13.243018336263976</v>
      </c>
      <c r="G25" s="17">
        <f t="shared" si="9"/>
        <v>37.735656546359806</v>
      </c>
      <c r="H25" s="17">
        <f t="shared" si="9"/>
        <v>22.620860352960179</v>
      </c>
      <c r="I25" s="26">
        <f t="shared" si="9"/>
        <v>45.546062222877893</v>
      </c>
    </row>
  </sheetData>
  <mergeCells count="1">
    <mergeCell ref="A1:I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2B51-672C-DE4F-86C6-C88778B304C8}">
  <dimension ref="A1:J25"/>
  <sheetViews>
    <sheetView zoomScale="94" workbookViewId="0">
      <selection activeCell="E28" sqref="E28"/>
    </sheetView>
  </sheetViews>
  <sheetFormatPr baseColWidth="10" defaultRowHeight="20"/>
  <cols>
    <col min="2" max="2" width="10.7109375" customWidth="1"/>
  </cols>
  <sheetData>
    <row r="1" spans="1:10" ht="21" thickBot="1">
      <c r="A1" s="47" t="s">
        <v>30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21" thickBot="1">
      <c r="A2" s="2"/>
      <c r="B2" s="35" t="s">
        <v>10</v>
      </c>
      <c r="C2" s="35" t="s">
        <v>18</v>
      </c>
      <c r="D2" s="35" t="s">
        <v>19</v>
      </c>
      <c r="E2" s="35" t="s">
        <v>21</v>
      </c>
      <c r="F2" s="35" t="s">
        <v>24</v>
      </c>
      <c r="G2" s="35" t="s">
        <v>26</v>
      </c>
      <c r="H2" s="35" t="s">
        <v>27</v>
      </c>
      <c r="I2" s="35" t="s">
        <v>28</v>
      </c>
      <c r="J2" s="36" t="s">
        <v>29</v>
      </c>
    </row>
    <row r="3" spans="1:10">
      <c r="A3" s="27" t="s">
        <v>0</v>
      </c>
      <c r="B3" s="22">
        <f>29*60+49</f>
        <v>1789</v>
      </c>
      <c r="C3" s="22">
        <f>12*60+50</f>
        <v>770</v>
      </c>
      <c r="D3" s="22">
        <f>6*60+17</f>
        <v>377</v>
      </c>
      <c r="E3" s="22">
        <f>6*60+1</f>
        <v>361</v>
      </c>
      <c r="F3" s="22">
        <f>8*60+9</f>
        <v>489</v>
      </c>
      <c r="G3" s="22">
        <f>3*60+33</f>
        <v>213</v>
      </c>
      <c r="H3" s="22">
        <f>9*60+29</f>
        <v>569</v>
      </c>
      <c r="I3" s="22">
        <f>3*60+31</f>
        <v>211</v>
      </c>
      <c r="J3" s="23">
        <f>1*60+12</f>
        <v>72</v>
      </c>
    </row>
    <row r="4" spans="1:10">
      <c r="A4" s="28" t="s">
        <v>1</v>
      </c>
      <c r="B4" s="1">
        <f>24*60+37</f>
        <v>1477</v>
      </c>
      <c r="C4" s="1">
        <f>11*60+28</f>
        <v>688</v>
      </c>
      <c r="D4" s="1">
        <f>12*60+51</f>
        <v>771</v>
      </c>
      <c r="E4" s="1">
        <f>13*60+14</f>
        <v>794</v>
      </c>
      <c r="F4" s="1">
        <f>9*60+50</f>
        <v>590</v>
      </c>
      <c r="G4" s="1">
        <f>9*60+23</f>
        <v>563</v>
      </c>
      <c r="H4" s="1">
        <f>11*60+58</f>
        <v>718</v>
      </c>
      <c r="I4" s="1">
        <f>1*60+56</f>
        <v>116</v>
      </c>
      <c r="J4" s="10">
        <f>2*60+57</f>
        <v>177</v>
      </c>
    </row>
    <row r="5" spans="1:10">
      <c r="A5" s="28" t="s">
        <v>2</v>
      </c>
      <c r="B5" s="1">
        <f>28*60+29</f>
        <v>1709</v>
      </c>
      <c r="C5" s="1">
        <f>14*60+24</f>
        <v>864</v>
      </c>
      <c r="D5" s="1">
        <f>2*60+13</f>
        <v>133</v>
      </c>
      <c r="E5" s="1">
        <f>18*60+49</f>
        <v>1129</v>
      </c>
      <c r="F5" s="1">
        <f>7*60+1</f>
        <v>421</v>
      </c>
      <c r="G5" s="1">
        <f>7*60+39</f>
        <v>459</v>
      </c>
      <c r="H5" s="1">
        <f>2*60+28</f>
        <v>148</v>
      </c>
      <c r="I5" s="1">
        <f>2*60+50</f>
        <v>170</v>
      </c>
      <c r="J5" s="10">
        <f>8*60+49</f>
        <v>529</v>
      </c>
    </row>
    <row r="6" spans="1:10">
      <c r="A6" s="28" t="s">
        <v>3</v>
      </c>
      <c r="B6" s="1">
        <f>41*60+25</f>
        <v>2485</v>
      </c>
      <c r="C6" s="1">
        <f>10*60+52</f>
        <v>652</v>
      </c>
      <c r="D6" s="1">
        <f>16*60+36</f>
        <v>996</v>
      </c>
      <c r="E6" s="1">
        <f>16*60+36</f>
        <v>996</v>
      </c>
      <c r="F6" s="1">
        <f>5*60+41</f>
        <v>341</v>
      </c>
      <c r="G6" s="1">
        <f>9*60+31</f>
        <v>571</v>
      </c>
      <c r="H6" s="1">
        <f>7*60+51</f>
        <v>471</v>
      </c>
      <c r="I6" s="1">
        <v>53</v>
      </c>
      <c r="J6" s="10">
        <f>4*60+22</f>
        <v>262</v>
      </c>
    </row>
    <row r="7" spans="1:10">
      <c r="A7" s="28" t="s">
        <v>4</v>
      </c>
      <c r="B7" s="1">
        <f>27*60+24</f>
        <v>1644</v>
      </c>
      <c r="C7" s="1">
        <f>13*60+7</f>
        <v>787</v>
      </c>
      <c r="D7" s="1">
        <f>7*60+45</f>
        <v>465</v>
      </c>
      <c r="E7" s="1">
        <f>21*60+2</f>
        <v>1262</v>
      </c>
      <c r="F7" s="1">
        <f>6*60+1</f>
        <v>361</v>
      </c>
      <c r="G7" s="1">
        <f>6*60+23</f>
        <v>383</v>
      </c>
      <c r="H7" s="1">
        <f>11*60+25</f>
        <v>685</v>
      </c>
      <c r="I7" s="1"/>
      <c r="J7" s="10">
        <f>4*60+30</f>
        <v>270</v>
      </c>
    </row>
    <row r="8" spans="1:10">
      <c r="A8" s="28" t="s">
        <v>5</v>
      </c>
      <c r="B8" s="1"/>
      <c r="C8" s="1"/>
      <c r="D8" s="1">
        <f>21*60+2</f>
        <v>1262</v>
      </c>
      <c r="E8" s="1">
        <f>17*60+49</f>
        <v>1069</v>
      </c>
      <c r="F8" s="1">
        <f>13*60+37</f>
        <v>817</v>
      </c>
      <c r="G8" s="1">
        <f>8*60+8</f>
        <v>488</v>
      </c>
      <c r="H8" s="1">
        <f>30*60+31</f>
        <v>1831</v>
      </c>
      <c r="I8" s="1"/>
      <c r="J8" s="10">
        <f>3*60+2</f>
        <v>182</v>
      </c>
    </row>
    <row r="9" spans="1:10">
      <c r="A9" s="28" t="s">
        <v>6</v>
      </c>
      <c r="B9" s="1"/>
      <c r="C9" s="1"/>
      <c r="D9" s="1">
        <f>6*60+49</f>
        <v>409</v>
      </c>
      <c r="E9" s="1">
        <f>10*60+30</f>
        <v>630</v>
      </c>
      <c r="F9" s="1">
        <f>6*60+45</f>
        <v>405</v>
      </c>
      <c r="G9" s="1">
        <f>3*60+2</f>
        <v>182</v>
      </c>
      <c r="H9" s="1">
        <f>5*60+18</f>
        <v>318</v>
      </c>
      <c r="I9" s="1"/>
      <c r="J9" s="10">
        <f>3*60+15</f>
        <v>195</v>
      </c>
    </row>
    <row r="10" spans="1:10">
      <c r="A10" s="28" t="s">
        <v>7</v>
      </c>
      <c r="B10" s="1"/>
      <c r="C10" s="1"/>
      <c r="D10" s="1">
        <f>3*60+29</f>
        <v>209</v>
      </c>
      <c r="E10" s="1">
        <f>10*60+37</f>
        <v>637</v>
      </c>
      <c r="F10" s="1">
        <f>4*60+35</f>
        <v>275</v>
      </c>
      <c r="G10" s="1">
        <f>7*60+28</f>
        <v>448</v>
      </c>
      <c r="H10" s="1"/>
      <c r="I10" s="1"/>
      <c r="J10" s="10"/>
    </row>
    <row r="11" spans="1:10">
      <c r="A11" s="28" t="s">
        <v>8</v>
      </c>
      <c r="B11" s="1"/>
      <c r="C11" s="1"/>
      <c r="D11" s="1"/>
      <c r="E11" s="1">
        <f>11*60+49</f>
        <v>709</v>
      </c>
      <c r="F11" s="1">
        <f>6*60+59</f>
        <v>419</v>
      </c>
      <c r="G11" s="1">
        <f>6*60+49</f>
        <v>409</v>
      </c>
      <c r="H11" s="1"/>
      <c r="I11" s="1"/>
      <c r="J11" s="10"/>
    </row>
    <row r="12" spans="1:10" ht="21" thickBot="1">
      <c r="A12" s="29" t="s">
        <v>9</v>
      </c>
      <c r="B12" s="14"/>
      <c r="C12" s="14"/>
      <c r="D12" s="14"/>
      <c r="E12" s="14">
        <f>12*60+43</f>
        <v>763</v>
      </c>
      <c r="F12" s="14">
        <f>7*60+41</f>
        <v>461</v>
      </c>
      <c r="G12" s="14"/>
      <c r="H12" s="14"/>
      <c r="I12" s="14"/>
      <c r="J12" s="15"/>
    </row>
    <row r="13" spans="1:10" ht="21" thickTop="1">
      <c r="A13" s="28" t="s">
        <v>12</v>
      </c>
      <c r="B13" s="1">
        <f t="shared" ref="B13:J13" si="0">STDEV(B3:B12)</f>
        <v>388.6286144894637</v>
      </c>
      <c r="C13" s="1">
        <f t="shared" si="0"/>
        <v>83.947602705497189</v>
      </c>
      <c r="D13" s="1">
        <f t="shared" si="0"/>
        <v>395.64513320470837</v>
      </c>
      <c r="E13" s="1">
        <f t="shared" si="0"/>
        <v>274.48699625139096</v>
      </c>
      <c r="F13" s="1">
        <f t="shared" si="0"/>
        <v>152.59274047098188</v>
      </c>
      <c r="G13" s="1">
        <f t="shared" si="0"/>
        <v>137.25290929926084</v>
      </c>
      <c r="H13" s="1">
        <f t="shared" si="0"/>
        <v>547.15671995368587</v>
      </c>
      <c r="I13" s="1">
        <f t="shared" si="0"/>
        <v>68.461668107050969</v>
      </c>
      <c r="J13" s="10">
        <f t="shared" si="0"/>
        <v>142.87523694935149</v>
      </c>
    </row>
    <row r="14" spans="1:10" ht="21" thickBot="1">
      <c r="A14" s="30" t="s">
        <v>25</v>
      </c>
      <c r="B14" s="1">
        <f>30*60</f>
        <v>1800</v>
      </c>
      <c r="C14" s="1">
        <f>15*60</f>
        <v>900</v>
      </c>
      <c r="D14" s="1">
        <f>5*60</f>
        <v>300</v>
      </c>
      <c r="E14" s="1">
        <f>20*60</f>
        <v>1200</v>
      </c>
      <c r="F14" s="1">
        <f>10*60</f>
        <v>600</v>
      </c>
      <c r="G14" s="1">
        <f>5*60</f>
        <v>300</v>
      </c>
      <c r="H14" s="1">
        <f>10*60</f>
        <v>600</v>
      </c>
      <c r="I14" s="1">
        <f>(5*60*2+7*60*2)/4</f>
        <v>360</v>
      </c>
      <c r="J14" s="10">
        <f>5*60</f>
        <v>300</v>
      </c>
    </row>
    <row r="15" spans="1:10" ht="21" thickBot="1">
      <c r="A15" s="2" t="s">
        <v>22</v>
      </c>
      <c r="B15" s="1">
        <f>(30*60+35*60+40*60+30*60+30*60)/5</f>
        <v>1980</v>
      </c>
      <c r="C15" s="1">
        <f>(17*60+15*60+30*60+15*60+15*60)/5</f>
        <v>1104</v>
      </c>
      <c r="D15" s="1">
        <f>(5*60+8*60+10*60+3*60+15*60+10*60*2)/8</f>
        <v>457.5</v>
      </c>
      <c r="E15" s="1">
        <f>(17*60+20*60*3+15*60+10*60*5)/10</f>
        <v>852</v>
      </c>
      <c r="F15" s="1">
        <f>(10*60*4+5*60*6)/10</f>
        <v>420</v>
      </c>
      <c r="G15" s="1">
        <f>(5*60*8+10*60)/9</f>
        <v>333.33333333333331</v>
      </c>
      <c r="H15" s="1">
        <f>(10*60*5+15*60*5)/10</f>
        <v>750</v>
      </c>
      <c r="I15" s="1">
        <f>(5*60*2+7*60*2)/4</f>
        <v>360</v>
      </c>
      <c r="J15" s="10">
        <f>(5*60*6+15*60)/7</f>
        <v>385.71428571428572</v>
      </c>
    </row>
    <row r="16" spans="1:10">
      <c r="A16" s="31" t="s">
        <v>23</v>
      </c>
      <c r="B16" s="1">
        <f>30*60</f>
        <v>1800</v>
      </c>
      <c r="C16" s="1">
        <f>15*60</f>
        <v>900</v>
      </c>
      <c r="D16" s="1">
        <f>10*60</f>
        <v>600</v>
      </c>
      <c r="E16" s="1">
        <f>10*60</f>
        <v>600</v>
      </c>
      <c r="F16" s="1">
        <f>5*60</f>
        <v>300</v>
      </c>
      <c r="G16" s="1">
        <f>5*60</f>
        <v>300</v>
      </c>
      <c r="H16" s="1">
        <f>15*60</f>
        <v>900</v>
      </c>
      <c r="I16" s="1">
        <f>(5*60*2+7*60*2)/4</f>
        <v>360</v>
      </c>
      <c r="J16" s="10">
        <f>5*60</f>
        <v>300</v>
      </c>
    </row>
    <row r="17" spans="1:10" s="3" customFormat="1">
      <c r="A17" s="32" t="s">
        <v>32</v>
      </c>
      <c r="B17" s="8">
        <f>B20-3*B13</f>
        <v>654.9141565316088</v>
      </c>
      <c r="C17" s="8">
        <f>C20-3*C13</f>
        <v>500.35719188350845</v>
      </c>
      <c r="D17" s="8">
        <f t="shared" ref="D17:J17" si="1">D20-3*D13</f>
        <v>-609.18539961412512</v>
      </c>
      <c r="E17" s="8">
        <f t="shared" si="1"/>
        <v>11.539011245827169</v>
      </c>
      <c r="F17" s="8">
        <f>F20-3*F13</f>
        <v>0.12177858705433664</v>
      </c>
      <c r="G17" s="8">
        <f t="shared" si="1"/>
        <v>1.1301609911064361</v>
      </c>
      <c r="H17" s="8">
        <f t="shared" si="1"/>
        <v>-964.3273027182006</v>
      </c>
      <c r="I17" s="8">
        <f t="shared" si="1"/>
        <v>-67.885004321152906</v>
      </c>
      <c r="J17" s="11">
        <f t="shared" si="1"/>
        <v>-187.6257108480545</v>
      </c>
    </row>
    <row r="18" spans="1:10" s="3" customFormat="1">
      <c r="A18" s="32" t="s">
        <v>31</v>
      </c>
      <c r="B18" s="8">
        <f>B20-2*B13</f>
        <v>1043.5427710210724</v>
      </c>
      <c r="C18" s="8">
        <f t="shared" ref="C18:J18" si="2">C20-2*C13</f>
        <v>584.30479458900572</v>
      </c>
      <c r="D18" s="8">
        <f t="shared" si="2"/>
        <v>-213.54026640941674</v>
      </c>
      <c r="E18" s="8">
        <f t="shared" si="2"/>
        <v>286.02600749721807</v>
      </c>
      <c r="F18" s="19">
        <f t="shared" si="2"/>
        <v>152.71451905803622</v>
      </c>
      <c r="G18" s="8">
        <f t="shared" si="2"/>
        <v>138.38307029036724</v>
      </c>
      <c r="H18" s="8">
        <f t="shared" si="2"/>
        <v>-417.17058276451462</v>
      </c>
      <c r="I18" s="8">
        <f t="shared" si="2"/>
        <v>0.576663785898063</v>
      </c>
      <c r="J18" s="11">
        <f t="shared" si="2"/>
        <v>-44.750473898702978</v>
      </c>
    </row>
    <row r="19" spans="1:10" s="3" customFormat="1" ht="21" thickBot="1">
      <c r="A19" s="32" t="s">
        <v>20</v>
      </c>
      <c r="B19" s="8">
        <f t="shared" ref="B19:J19" si="3">B20-B13</f>
        <v>1432.1713855105363</v>
      </c>
      <c r="C19" s="8">
        <f t="shared" si="3"/>
        <v>668.25239729450288</v>
      </c>
      <c r="D19" s="16">
        <f t="shared" si="3"/>
        <v>182.10486679529163</v>
      </c>
      <c r="E19" s="19">
        <f t="shared" si="3"/>
        <v>560.51300374860898</v>
      </c>
      <c r="F19" s="21">
        <f t="shared" si="3"/>
        <v>305.3072595290181</v>
      </c>
      <c r="G19" s="16">
        <f t="shared" si="3"/>
        <v>275.63597958962805</v>
      </c>
      <c r="H19" s="19">
        <f t="shared" si="3"/>
        <v>129.98613718917125</v>
      </c>
      <c r="I19" s="8">
        <f t="shared" si="3"/>
        <v>69.038331892949031</v>
      </c>
      <c r="J19" s="11">
        <f t="shared" si="3"/>
        <v>98.124763050648511</v>
      </c>
    </row>
    <row r="20" spans="1:10" s="5" customFormat="1" ht="21" thickBot="1">
      <c r="A20" s="33" t="s">
        <v>11</v>
      </c>
      <c r="B20" s="17">
        <f t="shared" ref="B20:J20" si="4">AVERAGE(B3:B12)</f>
        <v>1820.8</v>
      </c>
      <c r="C20" s="6">
        <f t="shared" si="4"/>
        <v>752.2</v>
      </c>
      <c r="D20" s="20">
        <f t="shared" si="4"/>
        <v>577.75</v>
      </c>
      <c r="E20" s="17">
        <f t="shared" si="4"/>
        <v>835</v>
      </c>
      <c r="F20" s="20">
        <f t="shared" si="4"/>
        <v>457.9</v>
      </c>
      <c r="G20" s="6">
        <f t="shared" si="4"/>
        <v>412.88888888888891</v>
      </c>
      <c r="H20" s="17">
        <f t="shared" si="4"/>
        <v>677.14285714285711</v>
      </c>
      <c r="I20" s="6">
        <f t="shared" si="4"/>
        <v>137.5</v>
      </c>
      <c r="J20" s="12">
        <f t="shared" si="4"/>
        <v>241</v>
      </c>
    </row>
    <row r="21" spans="1:10" s="5" customFormat="1" ht="21" thickBot="1">
      <c r="A21" s="33" t="s">
        <v>13</v>
      </c>
      <c r="B21" s="6">
        <f t="shared" ref="B21:J21" si="5">B20+B13</f>
        <v>2209.4286144894636</v>
      </c>
      <c r="C21" s="18">
        <f t="shared" si="5"/>
        <v>836.14760270549721</v>
      </c>
      <c r="D21" s="6">
        <f t="shared" si="5"/>
        <v>973.39513320470837</v>
      </c>
      <c r="E21" s="20">
        <f t="shared" si="5"/>
        <v>1109.486996251391</v>
      </c>
      <c r="F21" s="6">
        <f t="shared" si="5"/>
        <v>610.49274047098186</v>
      </c>
      <c r="G21" s="6">
        <f t="shared" si="5"/>
        <v>550.14179818814978</v>
      </c>
      <c r="H21" s="6">
        <f t="shared" si="5"/>
        <v>1224.2995770965431</v>
      </c>
      <c r="I21" s="6">
        <f t="shared" si="5"/>
        <v>205.96166810705097</v>
      </c>
      <c r="J21" s="25">
        <f t="shared" si="5"/>
        <v>383.87523694935146</v>
      </c>
    </row>
    <row r="22" spans="1:10" s="4" customFormat="1" ht="21" thickTop="1">
      <c r="A22" s="34" t="s">
        <v>14</v>
      </c>
      <c r="B22" s="9">
        <f t="shared" ref="B22:J22" si="6">B20+2*B13</f>
        <v>2598.0572289789275</v>
      </c>
      <c r="C22" s="9">
        <f t="shared" si="6"/>
        <v>920.09520541099437</v>
      </c>
      <c r="D22" s="9">
        <f t="shared" si="6"/>
        <v>1369.0402664094167</v>
      </c>
      <c r="E22" s="9">
        <f t="shared" si="6"/>
        <v>1383.973992502782</v>
      </c>
      <c r="F22" s="9">
        <f t="shared" si="6"/>
        <v>763.08548094196374</v>
      </c>
      <c r="G22" s="9">
        <f t="shared" si="6"/>
        <v>687.39470748741064</v>
      </c>
      <c r="H22" s="9">
        <f t="shared" si="6"/>
        <v>1771.4562970502288</v>
      </c>
      <c r="I22" s="9">
        <f t="shared" si="6"/>
        <v>274.42333621410194</v>
      </c>
      <c r="J22" s="13">
        <f t="shared" si="6"/>
        <v>526.75047389870292</v>
      </c>
    </row>
    <row r="23" spans="1:10" s="4" customFormat="1" ht="21" thickBot="1">
      <c r="A23" s="34" t="s">
        <v>15</v>
      </c>
      <c r="B23" s="9">
        <f t="shared" ref="B23:J23" si="7">B20+3*B13</f>
        <v>2986.6858434683909</v>
      </c>
      <c r="C23" s="9">
        <f t="shared" si="7"/>
        <v>1004.0428081164916</v>
      </c>
      <c r="D23" s="9">
        <f t="shared" si="7"/>
        <v>1764.6853996141251</v>
      </c>
      <c r="E23" s="9">
        <f t="shared" si="7"/>
        <v>1658.4609887541728</v>
      </c>
      <c r="F23" s="9">
        <f t="shared" si="7"/>
        <v>915.67822141294562</v>
      </c>
      <c r="G23" s="9">
        <f t="shared" si="7"/>
        <v>824.64761678667139</v>
      </c>
      <c r="H23" s="9">
        <f t="shared" si="7"/>
        <v>2318.613017003915</v>
      </c>
      <c r="I23" s="24">
        <f t="shared" si="7"/>
        <v>342.88500432115291</v>
      </c>
      <c r="J23" s="13">
        <f t="shared" si="7"/>
        <v>669.6257108480545</v>
      </c>
    </row>
    <row r="24" spans="1:10" s="5" customFormat="1" ht="21" thickBot="1">
      <c r="A24" s="33" t="s">
        <v>16</v>
      </c>
      <c r="B24" s="6">
        <f t="shared" ref="B24:J24" si="8">B20+4*B13</f>
        <v>3375.3144579578548</v>
      </c>
      <c r="C24" s="17">
        <f t="shared" si="8"/>
        <v>1087.9904108219889</v>
      </c>
      <c r="D24" s="6">
        <f t="shared" si="8"/>
        <v>2160.3305328188335</v>
      </c>
      <c r="E24" s="6">
        <f t="shared" si="8"/>
        <v>1932.9479850055639</v>
      </c>
      <c r="F24" s="6">
        <f t="shared" si="8"/>
        <v>1068.2709618839276</v>
      </c>
      <c r="G24" s="6">
        <f t="shared" si="8"/>
        <v>961.90052608593226</v>
      </c>
      <c r="H24" s="6">
        <f t="shared" si="8"/>
        <v>2865.7697369576008</v>
      </c>
      <c r="I24" s="6">
        <f t="shared" si="8"/>
        <v>411.34667242820387</v>
      </c>
      <c r="J24" s="12">
        <f t="shared" si="8"/>
        <v>812.50094779740596</v>
      </c>
    </row>
    <row r="25" spans="1:10" s="5" customFormat="1" ht="21" thickBot="1">
      <c r="A25" s="7" t="s">
        <v>17</v>
      </c>
      <c r="B25" s="17">
        <f t="shared" ref="B25:J25" si="9">B20+5*B13</f>
        <v>3763.9430724473186</v>
      </c>
      <c r="C25" s="17">
        <f t="shared" si="9"/>
        <v>1171.938013527486</v>
      </c>
      <c r="D25" s="17">
        <f t="shared" si="9"/>
        <v>2555.9756660235416</v>
      </c>
      <c r="E25" s="17">
        <f t="shared" si="9"/>
        <v>2207.4349812569549</v>
      </c>
      <c r="F25" s="17">
        <f t="shared" si="9"/>
        <v>1220.8637023549095</v>
      </c>
      <c r="G25" s="17">
        <f t="shared" si="9"/>
        <v>1099.153435385193</v>
      </c>
      <c r="H25" s="17">
        <f t="shared" si="9"/>
        <v>3412.9264569112866</v>
      </c>
      <c r="I25" s="17">
        <f t="shared" si="9"/>
        <v>479.80834053525484</v>
      </c>
      <c r="J25" s="26">
        <f t="shared" si="9"/>
        <v>955.37618474675742</v>
      </c>
    </row>
  </sheetData>
  <mergeCells count="1">
    <mergeCell ref="A1:J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5ABC-637C-4244-A59D-B62099FB52F7}">
  <dimension ref="A1:I25"/>
  <sheetViews>
    <sheetView topLeftCell="A8" workbookViewId="0">
      <selection activeCell="B28" sqref="B28"/>
    </sheetView>
  </sheetViews>
  <sheetFormatPr baseColWidth="10" defaultRowHeight="20"/>
  <sheetData>
    <row r="1" spans="1:9" ht="21" thickBot="1">
      <c r="A1" s="47" t="s">
        <v>34</v>
      </c>
      <c r="B1" s="48"/>
      <c r="C1" s="48"/>
      <c r="D1" s="48"/>
      <c r="E1" s="48"/>
      <c r="F1" s="48"/>
      <c r="G1" s="48"/>
      <c r="H1" s="48"/>
      <c r="I1" s="49"/>
    </row>
    <row r="2" spans="1:9" ht="21" thickBot="1">
      <c r="A2" s="2"/>
      <c r="B2" s="39" t="s">
        <v>10</v>
      </c>
      <c r="C2" s="35" t="s">
        <v>33</v>
      </c>
      <c r="D2" s="35" t="s">
        <v>21</v>
      </c>
      <c r="E2" s="35" t="s">
        <v>24</v>
      </c>
      <c r="F2" s="35" t="s">
        <v>26</v>
      </c>
      <c r="G2" s="35" t="s">
        <v>27</v>
      </c>
      <c r="H2" s="35" t="s">
        <v>28</v>
      </c>
      <c r="I2" s="36" t="s">
        <v>29</v>
      </c>
    </row>
    <row r="3" spans="1:9">
      <c r="A3" s="28" t="s">
        <v>0</v>
      </c>
      <c r="B3" s="37">
        <f>16*60+19</f>
        <v>979</v>
      </c>
      <c r="C3" s="1">
        <f>11*60+25</f>
        <v>685</v>
      </c>
      <c r="D3" s="1">
        <f>10*60+53</f>
        <v>653</v>
      </c>
      <c r="E3" s="1">
        <f>7*60+19</f>
        <v>439</v>
      </c>
      <c r="F3" s="1">
        <f>7*60+19</f>
        <v>439</v>
      </c>
      <c r="G3" s="1">
        <f>17*60+43</f>
        <v>1063</v>
      </c>
      <c r="H3" s="1">
        <f>4*60+41</f>
        <v>281</v>
      </c>
      <c r="I3" s="10">
        <v>4</v>
      </c>
    </row>
    <row r="4" spans="1:9">
      <c r="A4" s="28" t="s">
        <v>1</v>
      </c>
      <c r="B4" s="37">
        <f>18*60+55</f>
        <v>1135</v>
      </c>
      <c r="C4" s="1">
        <f>13*60+17</f>
        <v>797</v>
      </c>
      <c r="D4" s="1">
        <f>2*60+36</f>
        <v>156</v>
      </c>
      <c r="E4" s="1">
        <f>2*60+54</f>
        <v>174</v>
      </c>
      <c r="F4" s="1">
        <f>4*60+11</f>
        <v>251</v>
      </c>
      <c r="G4" s="1">
        <f>23*60+21</f>
        <v>1401</v>
      </c>
      <c r="H4" s="1">
        <f>9*60+17</f>
        <v>557</v>
      </c>
      <c r="I4" s="10">
        <f>15*60+8</f>
        <v>908</v>
      </c>
    </row>
    <row r="5" spans="1:9">
      <c r="A5" s="28" t="s">
        <v>2</v>
      </c>
      <c r="B5" s="37">
        <f>18*60+32</f>
        <v>1112</v>
      </c>
      <c r="C5" s="1">
        <f>13*60+31</f>
        <v>811</v>
      </c>
      <c r="D5" s="1"/>
      <c r="E5" s="1">
        <f>10*60+17</f>
        <v>617</v>
      </c>
      <c r="F5" s="1">
        <f>3*60+35</f>
        <v>215</v>
      </c>
      <c r="G5" s="1">
        <f>16*60+18</f>
        <v>978</v>
      </c>
      <c r="H5" s="1">
        <f>2*60+36</f>
        <v>156</v>
      </c>
      <c r="I5" s="10">
        <f>8*60+17</f>
        <v>497</v>
      </c>
    </row>
    <row r="6" spans="1:9">
      <c r="A6" s="28" t="s">
        <v>3</v>
      </c>
      <c r="B6" s="37"/>
      <c r="C6" s="1"/>
      <c r="D6" s="1"/>
      <c r="E6" s="1">
        <f>8*60+29</f>
        <v>509</v>
      </c>
      <c r="F6" s="1">
        <f>5*60+8</f>
        <v>308</v>
      </c>
      <c r="G6" s="1">
        <f>14*60</f>
        <v>840</v>
      </c>
      <c r="H6" s="1"/>
      <c r="I6" s="10"/>
    </row>
    <row r="7" spans="1:9">
      <c r="A7" s="28" t="s">
        <v>4</v>
      </c>
      <c r="B7" s="37"/>
      <c r="C7" s="1"/>
      <c r="D7" s="1"/>
      <c r="E7" s="1"/>
      <c r="F7" s="1"/>
      <c r="G7" s="1"/>
      <c r="H7" s="1"/>
      <c r="I7" s="10"/>
    </row>
    <row r="8" spans="1:9">
      <c r="A8" s="28" t="s">
        <v>5</v>
      </c>
      <c r="B8" s="37"/>
      <c r="C8" s="1"/>
      <c r="D8" s="1"/>
      <c r="E8" s="1"/>
      <c r="F8" s="1"/>
      <c r="G8" s="1"/>
      <c r="H8" s="1"/>
      <c r="I8" s="10"/>
    </row>
    <row r="9" spans="1:9">
      <c r="A9" s="28" t="s">
        <v>6</v>
      </c>
      <c r="B9" s="37"/>
      <c r="C9" s="1"/>
      <c r="D9" s="1"/>
      <c r="E9" s="1"/>
      <c r="F9" s="1"/>
      <c r="G9" s="1"/>
      <c r="H9" s="1"/>
      <c r="I9" s="10"/>
    </row>
    <row r="10" spans="1:9">
      <c r="A10" s="28" t="s">
        <v>7</v>
      </c>
      <c r="B10" s="37"/>
      <c r="C10" s="1"/>
      <c r="D10" s="1"/>
      <c r="E10" s="1"/>
      <c r="F10" s="1"/>
      <c r="G10" s="1"/>
      <c r="H10" s="1"/>
      <c r="I10" s="10"/>
    </row>
    <row r="11" spans="1:9">
      <c r="A11" s="28" t="s">
        <v>8</v>
      </c>
      <c r="B11" s="37"/>
      <c r="C11" s="1"/>
      <c r="D11" s="1"/>
      <c r="E11" s="1"/>
      <c r="F11" s="1"/>
      <c r="G11" s="1"/>
      <c r="H11" s="1"/>
      <c r="I11" s="10"/>
    </row>
    <row r="12" spans="1:9" ht="21" thickBot="1">
      <c r="A12" s="29" t="s">
        <v>9</v>
      </c>
      <c r="B12" s="40"/>
      <c r="C12" s="14"/>
      <c r="D12" s="14"/>
      <c r="E12" s="14"/>
      <c r="F12" s="14"/>
      <c r="G12" s="14"/>
      <c r="H12" s="14"/>
      <c r="I12" s="15"/>
    </row>
    <row r="13" spans="1:9" ht="21" thickTop="1">
      <c r="A13" s="28" t="s">
        <v>12</v>
      </c>
      <c r="B13" s="37">
        <f>STDEV(B3:B12)</f>
        <v>84.215992147176735</v>
      </c>
      <c r="C13" s="37">
        <f>STDEV(C3:C12)</f>
        <v>69.060360072427457</v>
      </c>
      <c r="D13" s="37">
        <f>STDEV(D3:D12)</f>
        <v>351.43207024971412</v>
      </c>
      <c r="E13" s="37">
        <f>STDEV(E3:E12)</f>
        <v>188.62374364503177</v>
      </c>
      <c r="F13" s="37">
        <f t="shared" ref="F13:I13" si="0">STDEV(F3:F12)</f>
        <v>98.266220035167734</v>
      </c>
      <c r="G13" s="37">
        <f t="shared" si="0"/>
        <v>238.72787855631776</v>
      </c>
      <c r="H13" s="37">
        <f t="shared" si="0"/>
        <v>205.18365756885547</v>
      </c>
      <c r="I13" s="38">
        <f t="shared" si="0"/>
        <v>452.61941334120138</v>
      </c>
    </row>
    <row r="14" spans="1:9" ht="21" thickBot="1">
      <c r="A14" s="30" t="s">
        <v>25</v>
      </c>
      <c r="B14" s="37">
        <f>20*60</f>
        <v>1200</v>
      </c>
      <c r="C14" s="1">
        <f>15*60</f>
        <v>900</v>
      </c>
      <c r="D14" s="1">
        <f>(10*60+2*60)/2</f>
        <v>360</v>
      </c>
      <c r="E14" s="1">
        <f>10*60</f>
        <v>600</v>
      </c>
      <c r="F14" s="1">
        <f>5*60</f>
        <v>300</v>
      </c>
      <c r="G14" s="1">
        <f>15*60</f>
        <v>900</v>
      </c>
      <c r="H14" s="1">
        <f>5*60</f>
        <v>300</v>
      </c>
      <c r="I14" s="10">
        <v>0</v>
      </c>
    </row>
    <row r="15" spans="1:9" ht="21" thickBot="1">
      <c r="A15" s="2" t="s">
        <v>22</v>
      </c>
      <c r="B15" s="37">
        <f>(20*60+15*60*2)/3</f>
        <v>1000</v>
      </c>
      <c r="C15" s="1">
        <f>(15*60*2+12*60)/3</f>
        <v>840</v>
      </c>
      <c r="D15" s="1">
        <f>(10*60+2*60)/2</f>
        <v>360</v>
      </c>
      <c r="E15" s="1">
        <f>10*60</f>
        <v>600</v>
      </c>
      <c r="F15" s="1">
        <f>(5*60+3*60*3)/4</f>
        <v>210</v>
      </c>
      <c r="G15" s="1">
        <f>15*60</f>
        <v>900</v>
      </c>
      <c r="H15" s="1">
        <f>(5*60*2+10*60+15*60)/4</f>
        <v>525</v>
      </c>
      <c r="I15" s="10">
        <v>0</v>
      </c>
    </row>
    <row r="16" spans="1:9">
      <c r="A16" s="31" t="s">
        <v>23</v>
      </c>
      <c r="B16" s="37">
        <f>15*60</f>
        <v>900</v>
      </c>
      <c r="C16" s="1">
        <f>15*60</f>
        <v>900</v>
      </c>
      <c r="D16" s="1">
        <f>(10*60+2*60)/2</f>
        <v>360</v>
      </c>
      <c r="E16" s="1">
        <f>10*60</f>
        <v>600</v>
      </c>
      <c r="F16" s="1">
        <f>3*60</f>
        <v>180</v>
      </c>
      <c r="G16" s="1">
        <f>15*60</f>
        <v>900</v>
      </c>
      <c r="H16" s="1">
        <f>15*60</f>
        <v>900</v>
      </c>
      <c r="I16" s="10">
        <v>0</v>
      </c>
    </row>
    <row r="17" spans="1:9" s="3" customFormat="1">
      <c r="A17" s="32" t="s">
        <v>32</v>
      </c>
      <c r="B17" s="41">
        <f>B20-3*B13</f>
        <v>822.68535689180305</v>
      </c>
      <c r="C17" s="8">
        <f>C20-3*C13</f>
        <v>557.15225311605104</v>
      </c>
      <c r="D17" s="8">
        <f>D20-3*D13</f>
        <v>-649.79621074914235</v>
      </c>
      <c r="E17" s="8">
        <f t="shared" ref="E17:I17" si="1">E20-3*E13</f>
        <v>-131.12123093509535</v>
      </c>
      <c r="F17" s="8">
        <f t="shared" si="1"/>
        <v>8.4513398944968117</v>
      </c>
      <c r="G17" s="8">
        <f t="shared" si="1"/>
        <v>354.31636433104677</v>
      </c>
      <c r="H17" s="8">
        <f t="shared" si="1"/>
        <v>-284.21763937323311</v>
      </c>
      <c r="I17" s="11">
        <f t="shared" si="1"/>
        <v>-888.1915733569374</v>
      </c>
    </row>
    <row r="18" spans="1:9" s="3" customFormat="1" ht="21" thickBot="1">
      <c r="A18" s="32" t="s">
        <v>31</v>
      </c>
      <c r="B18" s="8">
        <f>B20-2*B13</f>
        <v>906.90134903897979</v>
      </c>
      <c r="C18" s="8">
        <f>C20-2*C13</f>
        <v>626.21261318847849</v>
      </c>
      <c r="D18" s="8">
        <f>D20-2*D13</f>
        <v>-298.36414049942823</v>
      </c>
      <c r="E18" s="8">
        <f t="shared" ref="E18:I18" si="2">E20-2*E13</f>
        <v>57.502512709936468</v>
      </c>
      <c r="F18" s="19">
        <f t="shared" si="2"/>
        <v>106.71755992966453</v>
      </c>
      <c r="G18" s="8">
        <f t="shared" si="2"/>
        <v>593.04424288736448</v>
      </c>
      <c r="H18" s="8">
        <f t="shared" si="2"/>
        <v>-79.033981804377618</v>
      </c>
      <c r="I18" s="46">
        <f t="shared" si="2"/>
        <v>-435.57216001573607</v>
      </c>
    </row>
    <row r="19" spans="1:9" s="3" customFormat="1" ht="21" thickBot="1">
      <c r="A19" s="32" t="s">
        <v>20</v>
      </c>
      <c r="B19" s="42">
        <f>B20-B13</f>
        <v>991.11734118615652</v>
      </c>
      <c r="C19" s="8">
        <f>C20-C13</f>
        <v>695.27297326090593</v>
      </c>
      <c r="D19" s="16">
        <f>D20-D13</f>
        <v>53.067929750285884</v>
      </c>
      <c r="E19" s="8">
        <f t="shared" ref="E19:I19" si="3">E20-E13</f>
        <v>246.12625635496823</v>
      </c>
      <c r="F19" s="21">
        <f t="shared" si="3"/>
        <v>204.98377996483225</v>
      </c>
      <c r="G19" s="16">
        <f t="shared" si="3"/>
        <v>831.77212144368218</v>
      </c>
      <c r="H19" s="19">
        <f t="shared" si="3"/>
        <v>126.14967576447785</v>
      </c>
      <c r="I19" s="11">
        <f t="shared" si="3"/>
        <v>17.047253325465306</v>
      </c>
    </row>
    <row r="20" spans="1:9" s="5" customFormat="1" ht="21" thickBot="1">
      <c r="A20" s="33" t="s">
        <v>11</v>
      </c>
      <c r="B20" s="6">
        <f>AVERAGE(B3:B12)</f>
        <v>1075.3333333333333</v>
      </c>
      <c r="C20" s="6">
        <f>AVERAGE(C3:C12)</f>
        <v>764.33333333333337</v>
      </c>
      <c r="D20" s="6">
        <f>AVERAGE(D3:D12)</f>
        <v>404.5</v>
      </c>
      <c r="E20" s="17">
        <f t="shared" ref="E20:I20" si="4">AVERAGE(E3:E12)</f>
        <v>434.75</v>
      </c>
      <c r="F20" s="6">
        <f t="shared" si="4"/>
        <v>303.25</v>
      </c>
      <c r="G20" s="6">
        <f t="shared" si="4"/>
        <v>1070.5</v>
      </c>
      <c r="H20" s="44">
        <f t="shared" si="4"/>
        <v>331.33333333333331</v>
      </c>
      <c r="I20" s="12">
        <f t="shared" si="4"/>
        <v>469.66666666666669</v>
      </c>
    </row>
    <row r="21" spans="1:9" s="5" customFormat="1" ht="21" thickBot="1">
      <c r="A21" s="33" t="s">
        <v>13</v>
      </c>
      <c r="B21" s="43">
        <f>B20+B13</f>
        <v>1159.5493254805101</v>
      </c>
      <c r="C21" s="17">
        <f>C20+C13</f>
        <v>833.39369340576081</v>
      </c>
      <c r="D21" s="6">
        <f>D20+D13</f>
        <v>755.93207024971412</v>
      </c>
      <c r="E21" s="6">
        <f t="shared" ref="E21:I21" si="5">E20+E13</f>
        <v>623.37374364503171</v>
      </c>
      <c r="F21" s="6">
        <f t="shared" si="5"/>
        <v>401.51622003516775</v>
      </c>
      <c r="G21" s="6">
        <f t="shared" si="5"/>
        <v>1309.2278785563178</v>
      </c>
      <c r="H21" s="6">
        <f t="shared" si="5"/>
        <v>536.51699090218881</v>
      </c>
      <c r="I21" s="12">
        <f t="shared" si="5"/>
        <v>922.28608000786812</v>
      </c>
    </row>
    <row r="22" spans="1:9" s="4" customFormat="1">
      <c r="A22" s="34" t="s">
        <v>14</v>
      </c>
      <c r="B22" s="9">
        <f>B20+2*B13</f>
        <v>1243.7653176276867</v>
      </c>
      <c r="C22" s="9">
        <f>C20+2*C13</f>
        <v>902.45405347818826</v>
      </c>
      <c r="D22" s="9">
        <f>D20+2*D13</f>
        <v>1107.3641404994282</v>
      </c>
      <c r="E22" s="9">
        <f t="shared" ref="E22:I22" si="6">E20+2*E13</f>
        <v>811.99748729006353</v>
      </c>
      <c r="F22" s="9">
        <f t="shared" si="6"/>
        <v>499.7824400703355</v>
      </c>
      <c r="G22" s="9">
        <f t="shared" si="6"/>
        <v>1547.9557571126356</v>
      </c>
      <c r="H22" s="45">
        <f t="shared" si="6"/>
        <v>741.70064847104425</v>
      </c>
      <c r="I22" s="13">
        <f t="shared" si="6"/>
        <v>1374.9054933490695</v>
      </c>
    </row>
    <row r="23" spans="1:9" s="4" customFormat="1">
      <c r="A23" s="34" t="s">
        <v>15</v>
      </c>
      <c r="B23" s="9">
        <f>B20+3*B13</f>
        <v>1327.9813097748633</v>
      </c>
      <c r="C23" s="9">
        <f>C20+3*C13</f>
        <v>971.5144135506157</v>
      </c>
      <c r="D23" s="9">
        <f>D20+3*D13</f>
        <v>1458.7962107491423</v>
      </c>
      <c r="E23" s="9">
        <f t="shared" ref="E23:I23" si="7">E20+3*E13</f>
        <v>1000.6212309350954</v>
      </c>
      <c r="F23" s="9">
        <f t="shared" si="7"/>
        <v>598.04866010550313</v>
      </c>
      <c r="G23" s="9">
        <f t="shared" si="7"/>
        <v>1786.6836356689532</v>
      </c>
      <c r="H23" s="9">
        <f t="shared" si="7"/>
        <v>946.88430603989968</v>
      </c>
      <c r="I23" s="13">
        <f t="shared" si="7"/>
        <v>1827.5249066902709</v>
      </c>
    </row>
    <row r="24" spans="1:9" s="5" customFormat="1">
      <c r="A24" s="33" t="s">
        <v>16</v>
      </c>
      <c r="B24" s="6">
        <f>B20+4*B13</f>
        <v>1412.1973019220402</v>
      </c>
      <c r="C24" s="6">
        <f>C20+4*C13</f>
        <v>1040.5747736230433</v>
      </c>
      <c r="D24" s="6">
        <f>D20+4*D13</f>
        <v>1810.2282809988565</v>
      </c>
      <c r="E24" s="6">
        <f t="shared" ref="E24:I24" si="8">E20+4*E13</f>
        <v>1189.2449745801271</v>
      </c>
      <c r="F24" s="6">
        <f t="shared" si="8"/>
        <v>696.31488014067099</v>
      </c>
      <c r="G24" s="6">
        <f t="shared" si="8"/>
        <v>2025.411514225271</v>
      </c>
      <c r="H24" s="6">
        <f t="shared" si="8"/>
        <v>1152.0679636087552</v>
      </c>
      <c r="I24" s="12">
        <f t="shared" si="8"/>
        <v>2280.144320031472</v>
      </c>
    </row>
    <row r="25" spans="1:9" s="5" customFormat="1" ht="21" thickBot="1">
      <c r="A25" s="7" t="s">
        <v>17</v>
      </c>
      <c r="B25" s="17">
        <f>B20+5*B13</f>
        <v>1496.413294069217</v>
      </c>
      <c r="C25" s="17">
        <f>C20+5*C13</f>
        <v>1109.6351336954706</v>
      </c>
      <c r="D25" s="17">
        <f>D20+5*D13</f>
        <v>2161.6603512485708</v>
      </c>
      <c r="E25" s="17">
        <f t="shared" ref="E25:I25" si="9">E20+5*E13</f>
        <v>1377.8687182251588</v>
      </c>
      <c r="F25" s="17">
        <f t="shared" si="9"/>
        <v>794.58110017583863</v>
      </c>
      <c r="G25" s="17">
        <f t="shared" si="9"/>
        <v>2264.1393927815889</v>
      </c>
      <c r="H25" s="17">
        <f t="shared" si="9"/>
        <v>1357.2516211776106</v>
      </c>
      <c r="I25" s="26">
        <f t="shared" si="9"/>
        <v>2732.7637333726734</v>
      </c>
    </row>
  </sheetData>
  <mergeCells count="1">
    <mergeCell ref="A1:I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FCC5-378B-7A46-9BC2-2EBCDE9F3C4C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知佳 (2)</vt:lpstr>
      <vt:lpstr>友理</vt:lpstr>
      <vt:lpstr>知佳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2020-08-25T07:03:57Z</dcterms:created>
  <dcterms:modified xsi:type="dcterms:W3CDTF">2020-08-29T08:08:14Z</dcterms:modified>
</cp:coreProperties>
</file>