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/>
  <mc:AlternateContent xmlns:mc="http://schemas.openxmlformats.org/markup-compatibility/2006">
    <mc:Choice Requires="x15">
      <x15ac:absPath xmlns:x15ac="http://schemas.microsoft.com/office/spreadsheetml/2010/11/ac" url="https://ntwrk.sharepoint.com/sites/Clients/Shared Documents/Current/Sabres/"/>
    </mc:Choice>
  </mc:AlternateContent>
  <xr:revisionPtr revIDLastSave="704" documentId="8_{B9A787B9-DEC9-A548-9E26-4F4F6FA2E88C}" xr6:coauthVersionLast="47" xr6:coauthVersionMax="47" xr10:uidLastSave="{F35A29AA-F18D-BD45-BB51-F2888EE0D1BB}"/>
  <bookViews>
    <workbookView xWindow="240" yWindow="760" windowWidth="30000" windowHeight="17720" activeTab="4" xr2:uid="{00000000-000D-0000-FFFF-FFFF00000000}"/>
  </bookViews>
  <sheets>
    <sheet name="Keyborough 2 (Grading)" sheetId="3" r:id="rId1"/>
    <sheet name="Pakenham 5 (Grading)" sheetId="4" r:id="rId2"/>
    <sheet name="McKinnon 6 (Grading)" sheetId="1" r:id="rId3"/>
    <sheet name="Camberwell 7 (Round 1)" sheetId="6" r:id="rId4"/>
    <sheet name="Westernport 3 (Round 2)" sheetId="7" r:id="rId5"/>
    <sheet name="Aggregate" sheetId="8" r:id="rId6"/>
    <sheet name="MVP" sheetId="9" r:id="rId7"/>
    <sheet name="Template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7" l="1"/>
  <c r="AA9" i="7"/>
  <c r="Y3" i="7"/>
  <c r="Y4" i="7"/>
  <c r="Y5" i="7"/>
  <c r="Y6" i="7"/>
  <c r="Y7" i="7"/>
  <c r="Y8" i="7"/>
  <c r="Y9" i="7"/>
  <c r="Y10" i="7"/>
  <c r="AA10" i="7" s="1"/>
  <c r="Y11" i="7"/>
  <c r="AA11" i="7" s="1"/>
  <c r="Z2" i="7"/>
  <c r="AA2" i="7" s="1"/>
  <c r="Z3" i="7"/>
  <c r="AA3" i="7" s="1"/>
  <c r="Z4" i="7"/>
  <c r="AA4" i="7" s="1"/>
  <c r="Z5" i="7"/>
  <c r="AA5" i="7" s="1"/>
  <c r="Z6" i="7"/>
  <c r="Z7" i="7"/>
  <c r="Z8" i="7"/>
  <c r="Z9" i="7"/>
  <c r="Z10" i="7"/>
  <c r="Z11" i="7"/>
  <c r="AA6" i="7"/>
  <c r="AA7" i="7"/>
  <c r="AA8" i="7"/>
  <c r="AA2" i="6"/>
  <c r="AA3" i="6"/>
  <c r="AA4" i="6"/>
  <c r="AA5" i="6"/>
  <c r="AA6" i="6"/>
  <c r="AA7" i="6"/>
  <c r="AA8" i="6"/>
  <c r="AA9" i="6"/>
  <c r="AA10" i="6"/>
  <c r="AA11" i="6"/>
  <c r="Z2" i="6"/>
  <c r="Z3" i="6"/>
  <c r="Z4" i="6"/>
  <c r="Z5" i="6"/>
  <c r="Z6" i="6"/>
  <c r="Z7" i="6"/>
  <c r="Z8" i="6"/>
  <c r="Z9" i="6"/>
  <c r="Z10" i="6"/>
  <c r="Z11" i="6"/>
  <c r="Y2" i="6"/>
  <c r="Y3" i="6"/>
  <c r="Y4" i="6"/>
  <c r="Y5" i="6"/>
  <c r="Y6" i="6"/>
  <c r="Y7" i="6"/>
  <c r="Y8" i="6"/>
  <c r="Y9" i="6"/>
  <c r="Y10" i="6"/>
  <c r="Y11" i="6"/>
  <c r="T13" i="9"/>
  <c r="T14" i="9"/>
  <c r="T15" i="9"/>
  <c r="T16" i="9"/>
  <c r="T17" i="9"/>
  <c r="T18" i="9"/>
  <c r="T19" i="9"/>
  <c r="T20" i="9"/>
  <c r="T21" i="9"/>
  <c r="T22" i="9"/>
  <c r="N4" i="8"/>
  <c r="N3" i="8"/>
  <c r="K4" i="8"/>
  <c r="K3" i="8"/>
  <c r="S2" i="6"/>
  <c r="S3" i="6"/>
  <c r="S4" i="6"/>
  <c r="S5" i="6"/>
  <c r="S6" i="6"/>
  <c r="S7" i="6"/>
  <c r="S8" i="6"/>
  <c r="S9" i="6"/>
  <c r="S10" i="6"/>
  <c r="S11" i="6"/>
  <c r="R2" i="6"/>
  <c r="AA3" i="8"/>
  <c r="Z4" i="8"/>
  <c r="Z3" i="8"/>
  <c r="Y4" i="8"/>
  <c r="Y3" i="8"/>
  <c r="T2" i="7"/>
  <c r="T3" i="7"/>
  <c r="T4" i="7"/>
  <c r="T5" i="7"/>
  <c r="T6" i="7"/>
  <c r="T7" i="7"/>
  <c r="T8" i="7"/>
  <c r="T9" i="7"/>
  <c r="T10" i="7"/>
  <c r="T11" i="7"/>
  <c r="S2" i="7"/>
  <c r="S3" i="7"/>
  <c r="S4" i="7"/>
  <c r="S5" i="7"/>
  <c r="S6" i="7"/>
  <c r="S7" i="7"/>
  <c r="S8" i="7"/>
  <c r="S9" i="7"/>
  <c r="S10" i="7"/>
  <c r="S11" i="7"/>
  <c r="R2" i="7"/>
  <c r="R3" i="7"/>
  <c r="R4" i="7"/>
  <c r="R5" i="7"/>
  <c r="R6" i="7"/>
  <c r="R7" i="7"/>
  <c r="R8" i="7"/>
  <c r="R9" i="7"/>
  <c r="R10" i="7"/>
  <c r="R11" i="7"/>
  <c r="X2" i="7"/>
  <c r="X3" i="7"/>
  <c r="X4" i="7"/>
  <c r="X5" i="7"/>
  <c r="X6" i="7"/>
  <c r="X7" i="7"/>
  <c r="X8" i="7"/>
  <c r="X9" i="7"/>
  <c r="X10" i="7"/>
  <c r="X11" i="7"/>
  <c r="W2" i="7"/>
  <c r="W3" i="7"/>
  <c r="W4" i="7"/>
  <c r="W5" i="7"/>
  <c r="W6" i="7"/>
  <c r="W7" i="7"/>
  <c r="W8" i="7"/>
  <c r="W9" i="7"/>
  <c r="W10" i="7"/>
  <c r="W11" i="7"/>
  <c r="V2" i="7"/>
  <c r="V3" i="7"/>
  <c r="V4" i="7"/>
  <c r="V5" i="7"/>
  <c r="V6" i="7"/>
  <c r="V7" i="7"/>
  <c r="V8" i="7"/>
  <c r="V9" i="7"/>
  <c r="V10" i="7"/>
  <c r="V11" i="7"/>
  <c r="T11" i="6"/>
  <c r="T10" i="6"/>
  <c r="T9" i="6"/>
  <c r="T8" i="6"/>
  <c r="T7" i="6"/>
  <c r="T6" i="6"/>
  <c r="T5" i="6"/>
  <c r="T4" i="6"/>
  <c r="T3" i="6"/>
  <c r="T2" i="6"/>
  <c r="X2" i="6"/>
  <c r="X3" i="6"/>
  <c r="X4" i="6"/>
  <c r="X5" i="6"/>
  <c r="X6" i="6"/>
  <c r="X7" i="6"/>
  <c r="X8" i="6"/>
  <c r="X9" i="6"/>
  <c r="X10" i="6"/>
  <c r="X11" i="6"/>
  <c r="R11" i="6"/>
  <c r="R10" i="6"/>
  <c r="R9" i="6"/>
  <c r="R8" i="6"/>
  <c r="R7" i="6"/>
  <c r="R6" i="6"/>
  <c r="R5" i="6"/>
  <c r="R4" i="6"/>
  <c r="R3" i="6"/>
  <c r="V2" i="6"/>
  <c r="V3" i="6"/>
  <c r="V4" i="6"/>
  <c r="V5" i="6"/>
  <c r="V6" i="6"/>
  <c r="V7" i="6"/>
  <c r="V8" i="6"/>
  <c r="V9" i="6"/>
  <c r="V10" i="6"/>
  <c r="V11" i="6"/>
  <c r="P2" i="6"/>
  <c r="Q12" i="6"/>
  <c r="Q12" i="7"/>
  <c r="P4" i="7"/>
  <c r="M12" i="7"/>
  <c r="R12" i="7" s="1"/>
  <c r="O12" i="7"/>
  <c r="T12" i="7" s="1"/>
  <c r="N12" i="7"/>
  <c r="S12" i="7" s="1"/>
  <c r="J12" i="7"/>
  <c r="L12" i="7"/>
  <c r="K12" i="7"/>
  <c r="I12" i="7"/>
  <c r="H12" i="7"/>
  <c r="G12" i="7"/>
  <c r="F12" i="7"/>
  <c r="E12" i="7"/>
  <c r="D12" i="7"/>
  <c r="C12" i="7"/>
  <c r="P11" i="7"/>
  <c r="P10" i="7"/>
  <c r="P9" i="7"/>
  <c r="P8" i="7"/>
  <c r="P7" i="7"/>
  <c r="P6" i="7"/>
  <c r="P5" i="7"/>
  <c r="P3" i="7"/>
  <c r="P2" i="7"/>
  <c r="N12" i="6"/>
  <c r="P3" i="6"/>
  <c r="P4" i="6"/>
  <c r="P5" i="6"/>
  <c r="P6" i="6"/>
  <c r="P7" i="6"/>
  <c r="P8" i="6"/>
  <c r="P9" i="6"/>
  <c r="P10" i="6"/>
  <c r="P11" i="6"/>
  <c r="C12" i="6"/>
  <c r="M12" i="6"/>
  <c r="O12" i="6"/>
  <c r="J12" i="6"/>
  <c r="L12" i="6"/>
  <c r="I12" i="6"/>
  <c r="H12" i="6"/>
  <c r="G12" i="6"/>
  <c r="F12" i="6"/>
  <c r="E12" i="6"/>
  <c r="D12" i="6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P12" i="1"/>
  <c r="G12" i="1"/>
  <c r="F12" i="1"/>
  <c r="D12" i="1"/>
  <c r="C12" i="1"/>
  <c r="H12" i="4"/>
  <c r="F12" i="4"/>
  <c r="E12" i="4"/>
  <c r="C12" i="4"/>
  <c r="B12" i="4"/>
  <c r="H12" i="3"/>
  <c r="F12" i="3"/>
  <c r="E12" i="3"/>
  <c r="C12" i="3"/>
  <c r="B12" i="3"/>
  <c r="R12" i="6" l="1"/>
  <c r="T12" i="6"/>
  <c r="P12" i="7"/>
  <c r="P12" i="6"/>
  <c r="W9" i="6"/>
  <c r="W10" i="6"/>
  <c r="W7" i="6"/>
  <c r="W8" i="6"/>
  <c r="W3" i="6"/>
  <c r="W11" i="6"/>
  <c r="W5" i="6"/>
  <c r="K12" i="6"/>
  <c r="S12" i="6" s="1"/>
  <c r="W2" i="6"/>
  <c r="W6" i="6"/>
  <c r="W4" i="6"/>
</calcChain>
</file>

<file path=xl/sharedStrings.xml><?xml version="1.0" encoding="utf-8"?>
<sst xmlns="http://schemas.openxmlformats.org/spreadsheetml/2006/main" count="365" uniqueCount="134">
  <si>
    <t>Name</t>
  </si>
  <si>
    <t>Turn Over Against</t>
  </si>
  <si>
    <t>Turn Over For</t>
  </si>
  <si>
    <t>Assist</t>
  </si>
  <si>
    <t>Offensive Rebound</t>
  </si>
  <si>
    <t>Defensive Rebound</t>
  </si>
  <si>
    <t>Missed Shot</t>
  </si>
  <si>
    <t xml:space="preserve">Points </t>
  </si>
  <si>
    <t>Charge</t>
  </si>
  <si>
    <t>Heath</t>
  </si>
  <si>
    <t>Nate</t>
  </si>
  <si>
    <t xml:space="preserve">      2/ 2F</t>
  </si>
  <si>
    <t>Zac</t>
  </si>
  <si>
    <t>Zakk</t>
  </si>
  <si>
    <t>Leo</t>
  </si>
  <si>
    <t>Hugo</t>
  </si>
  <si>
    <t>Charlie</t>
  </si>
  <si>
    <t>Harrison</t>
  </si>
  <si>
    <t>Harley</t>
  </si>
  <si>
    <t>Tom</t>
  </si>
  <si>
    <t>5/1F</t>
  </si>
  <si>
    <t>Column1</t>
  </si>
  <si>
    <t>1 / 1F</t>
  </si>
  <si>
    <t>D</t>
  </si>
  <si>
    <t>2 / 3F</t>
  </si>
  <si>
    <t>No Game</t>
  </si>
  <si>
    <t>#</t>
  </si>
  <si>
    <t>Steals</t>
  </si>
  <si>
    <t>Turnovers</t>
  </si>
  <si>
    <t>Assists</t>
  </si>
  <si>
    <t>Rebound (Offensive)</t>
  </si>
  <si>
    <t>Rebound (Defensive)</t>
  </si>
  <si>
    <t>Charge (Offensive)</t>
  </si>
  <si>
    <t>Charge (Defensive)</t>
  </si>
  <si>
    <t>Field Goal (A)</t>
  </si>
  <si>
    <t>Three Pointer (A)</t>
  </si>
  <si>
    <t>Foul Shot (A)</t>
  </si>
  <si>
    <t>Field Goal (M)</t>
  </si>
  <si>
    <t>Three Pointer (M)</t>
  </si>
  <si>
    <t>Foul Shot (M)</t>
  </si>
  <si>
    <t>Notes</t>
  </si>
  <si>
    <t>Oposition Rebound</t>
  </si>
  <si>
    <t>Fouls</t>
  </si>
  <si>
    <t>6</t>
  </si>
  <si>
    <t>Hugo Fischer</t>
  </si>
  <si>
    <t>2</t>
  </si>
  <si>
    <t>1</t>
  </si>
  <si>
    <t>4</t>
  </si>
  <si>
    <t>21</t>
  </si>
  <si>
    <t>Leo Robbins</t>
  </si>
  <si>
    <t>0</t>
  </si>
  <si>
    <t>3</t>
  </si>
  <si>
    <t>29</t>
  </si>
  <si>
    <t>Nate Harrison</t>
  </si>
  <si>
    <t>31</t>
  </si>
  <si>
    <t>Thomas Semple</t>
  </si>
  <si>
    <t>32</t>
  </si>
  <si>
    <t>Zacharie Khan</t>
  </si>
  <si>
    <t>33</t>
  </si>
  <si>
    <t>Harrison Bradley</t>
  </si>
  <si>
    <t>37</t>
  </si>
  <si>
    <t>Zakk Bosman</t>
  </si>
  <si>
    <t>5</t>
  </si>
  <si>
    <t>61</t>
  </si>
  <si>
    <t>Harley Stein</t>
  </si>
  <si>
    <t>Charles Ferro</t>
  </si>
  <si>
    <t>DNP</t>
  </si>
  <si>
    <t>73</t>
  </si>
  <si>
    <t>Heath Curtis</t>
  </si>
  <si>
    <t>TOTAL</t>
  </si>
  <si>
    <t>Oposition Rebounds</t>
  </si>
  <si>
    <t>Three Pointer (%)</t>
  </si>
  <si>
    <t>Foul Shot (%)</t>
  </si>
  <si>
    <t>Field Goal (%)</t>
  </si>
  <si>
    <t>Date</t>
  </si>
  <si>
    <t>Round</t>
  </si>
  <si>
    <t>Round 1</t>
  </si>
  <si>
    <t>Round 2</t>
  </si>
  <si>
    <t>Opponent</t>
  </si>
  <si>
    <t>Camberwell 7</t>
  </si>
  <si>
    <t>Westernport 3</t>
  </si>
  <si>
    <t>Foul Shot (A)2</t>
  </si>
  <si>
    <t>Field Goal (A)3</t>
  </si>
  <si>
    <t>Three Pointer (A)4</t>
  </si>
  <si>
    <t>Result</t>
  </si>
  <si>
    <t>39 - 39</t>
  </si>
  <si>
    <t>37 - 47</t>
  </si>
  <si>
    <t>TOTAL REBOUNDS</t>
  </si>
  <si>
    <t>OPPOSITION</t>
  </si>
  <si>
    <t>L</t>
  </si>
  <si>
    <t>PLAYERS POINTS</t>
  </si>
  <si>
    <t>Round 18</t>
  </si>
  <si>
    <t>Round 17</t>
  </si>
  <si>
    <t>Round 16</t>
  </si>
  <si>
    <t>Round 15</t>
  </si>
  <si>
    <t>Round 14</t>
  </si>
  <si>
    <t>Round 13</t>
  </si>
  <si>
    <t>Round 12</t>
  </si>
  <si>
    <t>Round 11</t>
  </si>
  <si>
    <t>Round 10</t>
  </si>
  <si>
    <t>Round 9</t>
  </si>
  <si>
    <t>Round 8</t>
  </si>
  <si>
    <t>Round 7</t>
  </si>
  <si>
    <t>Round 6</t>
  </si>
  <si>
    <t>Round 5</t>
  </si>
  <si>
    <t>Round 4</t>
  </si>
  <si>
    <t>Round 3</t>
  </si>
  <si>
    <t>2024 Sabres Team MVP Voting - VJBL season only</t>
  </si>
  <si>
    <t>W (37 - 47)</t>
  </si>
  <si>
    <t>L (39 - 39)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</si>
  <si>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</si>
  <si>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</si>
  <si>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</si>
  <si>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</si>
  <si>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</si>
  <si>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</si>
  <si>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</si>
  <si>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</si>
  <si>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</si>
  <si>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</si>
  <si>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</si>
  <si>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</si>
  <si>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</si>
  <si>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</si>
  <si>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</si>
  <si>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</si>
  <si>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</si>
  <si>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</si>
  <si>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Offensive Rating</t>
  </si>
  <si>
    <t>Defensive Rating</t>
  </si>
  <si>
    <t>Combined Rating</t>
  </si>
  <si>
    <t>Y2</t>
  </si>
  <si>
    <t>Z2</t>
  </si>
  <si>
    <t>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</si>
</sst>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0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rgb="FF000000"/>
      <name val="Aptos Narrow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5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7" xfId="1" applyFont="1" applyBorder="1" applyAlignment="1">
      <alignment horizontal="center" vertical="center"/>
    </xf>
    <xf numFmtId="9" fontId="5" fillId="0" borderId="8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9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16" fontId="1" fillId="0" borderId="6" xfId="0" applyNumberFormat="1" applyFont="1" applyBorder="1" applyAlignment="1">
      <alignment horizontal="center" vertical="center"/>
    </xf>
    <xf numFmtId="9" fontId="5" fillId="0" borderId="6" xfId="1" applyFont="1" applyBorder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7" fillId="0" borderId="15" xfId="0" applyFont="1" applyBorder="1"/>
    <xf numFmtId="0" fontId="8" fillId="0" borderId="15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165" fontId="5" fillId="0" borderId="0" xfId="0" applyNumberFormat="1" applyFont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</cellXfs>
  <cellStyles count="2">
    <cellStyle name="Normal" xfId="0" builtinId="0"/>
    <cellStyle name="Per cent" xfId="1" builtinId="5"/>
  </cellStyles>
  <dxfs count="2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65" formatCode="0.0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65" formatCode="0.0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65" formatCode="0.0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65" formatCode="0.0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65" formatCode="0.0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65" formatCode="0.0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Aptos Narrow"/>
        <family val="2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508000</xdr:colOff>
      <xdr:row>0</xdr:row>
      <xdr:rowOff>84667</xdr:rowOff>
    </xdr:from>
    <xdr:ext cx="987849" cy="846347"/>
    <xdr:pic>
      <xdr:nvPicPr>
        <xdr:cNvPr id="2" name="Picture 1">
          <a:extLst>
            <a:ext uri="{FF2B5EF4-FFF2-40B4-BE49-F238E27FC236}">
              <a16:creationId xmlns:a16="http://schemas.microsoft.com/office/drawing/2014/main" id="{3DB41E96-D899-5344-A674-93197FDF4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3800" y="84667"/>
          <a:ext cx="987849" cy="846347"/>
        </a:xfrm>
        <a:prstGeom prst="rect">
          <a:avLst/>
        </a:prstGeom>
      </xdr:spPr>
    </xdr:pic>
    <xdr:clientData/>
  </xdr:oneCellAnchor>
  <xdr:oneCellAnchor>
    <xdr:from>
      <xdr:col>0</xdr:col>
      <xdr:colOff>43472</xdr:colOff>
      <xdr:row>0</xdr:row>
      <xdr:rowOff>10583</xdr:rowOff>
    </xdr:from>
    <xdr:ext cx="1374695" cy="945557"/>
    <xdr:pic>
      <xdr:nvPicPr>
        <xdr:cNvPr id="3" name="Picture 2">
          <a:extLst>
            <a:ext uri="{FF2B5EF4-FFF2-40B4-BE49-F238E27FC236}">
              <a16:creationId xmlns:a16="http://schemas.microsoft.com/office/drawing/2014/main" id="{7DA5083E-A649-C547-9B79-CD14B27E2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72" y="10583"/>
          <a:ext cx="1374695" cy="945557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852B8E-D3D1-4699-94B0-02C57CD3F30C}" name="Table13" displayName="Table13" ref="A1:I12" totalsRowCount="1">
  <autoFilter ref="A1:I11" xr:uid="{9289FB7A-F9FE-47B2-A61A-372F1EAF4D76}"/>
  <tableColumns count="9">
    <tableColumn id="1" xr3:uid="{AA6BA884-610A-4D3A-9BA3-AC4BF72A2D12}" name="Name" dataDxfId="228" totalsRowDxfId="227"/>
    <tableColumn id="2" xr3:uid="{5CE23EA9-DF07-4069-B377-B7F710C710AB}" name="Turn Over Against" totalsRowFunction="sum" dataDxfId="226" totalsRowDxfId="225"/>
    <tableColumn id="3" xr3:uid="{60998A3A-FD12-45BE-8E0F-6CA6A46F1922}" name="Turn Over For" totalsRowFunction="sum" dataDxfId="224" totalsRowDxfId="223"/>
    <tableColumn id="4" xr3:uid="{2D44B2DC-2D19-480D-8640-CE05B901093D}" name="Assist" dataDxfId="222" totalsRowDxfId="221"/>
    <tableColumn id="5" xr3:uid="{9DFE8A7A-54AB-4717-8698-291AAB9856A5}" name="Offensive Rebound" totalsRowFunction="sum" dataDxfId="220" totalsRowDxfId="219"/>
    <tableColumn id="6" xr3:uid="{3999E7EE-6A85-48AD-B57E-2F8AC1021CCA}" name="Defensive Rebound" totalsRowFunction="sum" dataDxfId="218" totalsRowDxfId="217"/>
    <tableColumn id="7" xr3:uid="{8A014509-2C8A-4D37-B309-C8890237CED5}" name="Missed Shot" dataDxfId="216" totalsRowDxfId="215"/>
    <tableColumn id="8" xr3:uid="{33C3D598-DC99-420B-8568-24BEEF7C6DA6}" name="Points " totalsRowFunction="sum" dataDxfId="214" totalsRowDxfId="213"/>
    <tableColumn id="9" xr3:uid="{78B2F709-F7E3-45F6-9C47-41AB43CB0594}" name="Charge" dataDxfId="212" totalsRowDxfId="2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541E9-F4D0-4E0C-953F-8F4CED52ADCF}" name="Table14" displayName="Table14" ref="A1:J12" totalsRowCount="1">
  <autoFilter ref="A1:J11" xr:uid="{9289FB7A-F9FE-47B2-A61A-372F1EAF4D76}"/>
  <tableColumns count="10">
    <tableColumn id="1" xr3:uid="{BF7852A7-EE47-42B1-AFC3-5DA9EA0B43F4}" name="Name" dataDxfId="210" totalsRowDxfId="209"/>
    <tableColumn id="2" xr3:uid="{6D8F840F-1FD8-4F70-A75A-DFC592376595}" name="Turn Over Against" totalsRowFunction="sum" dataDxfId="208" totalsRowDxfId="207"/>
    <tableColumn id="3" xr3:uid="{79BB64FF-054B-4D6E-9D61-65E1B448673E}" name="Turn Over For" totalsRowFunction="sum" dataDxfId="206" totalsRowDxfId="205"/>
    <tableColumn id="4" xr3:uid="{F05B15FF-0C28-4645-B9EF-133539B90980}" name="Assist" dataDxfId="204" totalsRowDxfId="203"/>
    <tableColumn id="5" xr3:uid="{BFB5D2F7-7540-42C1-A966-E3905416BF46}" name="Offensive Rebound" totalsRowFunction="sum" dataDxfId="202" totalsRowDxfId="201"/>
    <tableColumn id="6" xr3:uid="{77BF0832-A5FA-4FF1-8C76-7AF0CB72762C}" name="Defensive Rebound" totalsRowFunction="sum" dataDxfId="200" totalsRowDxfId="199"/>
    <tableColumn id="7" xr3:uid="{06DDF6B4-1B77-4856-98CC-EFD83DF6E5B2}" name="Missed Shot" dataDxfId="198" totalsRowDxfId="197"/>
    <tableColumn id="8" xr3:uid="{FCC0C311-5A44-4F9E-B04D-B58825117959}" name="Points " totalsRowFunction="sum" dataDxfId="196" totalsRowDxfId="195"/>
    <tableColumn id="9" xr3:uid="{8E22D9F1-16E4-469B-A05F-6D20F0E9EF5A}" name="Charge" dataDxfId="194" totalsRowDxfId="193"/>
    <tableColumn id="10" xr3:uid="{7F37A549-1435-4AEF-BF64-6303B8509B73}" name="Column1" dataDxfId="192" totalsRowDxfId="19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89FB7A-F9FE-47B2-A61A-372F1EAF4D76}" name="Table1" displayName="Table1" ref="B1:Q12" totalsRowCount="1" headerRowDxfId="190" dataDxfId="189" totalsRowDxfId="188">
  <autoFilter ref="B1:Q11" xr:uid="{9289FB7A-F9FE-47B2-A61A-372F1EAF4D76}"/>
  <tableColumns count="16">
    <tableColumn id="1" xr3:uid="{0DCCD737-2F9C-4C56-86D3-DACA3DEE46FC}" name="Name" dataDxfId="187" totalsRowDxfId="186"/>
    <tableColumn id="2" xr3:uid="{DBEF0010-AB5F-4DF4-AC96-4918E65AAACD}" name="Steals" totalsRowFunction="sum" dataDxfId="185" totalsRowDxfId="184"/>
    <tableColumn id="3" xr3:uid="{0F3F0133-2FB2-4560-9F4E-C3D896C1BB7F}" name="Turnovers" totalsRowFunction="sum" dataDxfId="183" totalsRowDxfId="182"/>
    <tableColumn id="4" xr3:uid="{05780724-50A5-42AF-A1DA-DD5A3B2A0E75}" name="Assists" dataDxfId="181" totalsRowDxfId="180"/>
    <tableColumn id="5" xr3:uid="{7D06BD51-A418-4946-8446-3509CE2B3715}" name="Rebound (Offensive)" totalsRowFunction="sum" dataDxfId="179" totalsRowDxfId="178"/>
    <tableColumn id="6" xr3:uid="{25937FB4-F0BC-4F8C-A877-18164AF278F4}" name="Rebound (Defensive)" totalsRowFunction="sum" dataDxfId="177" totalsRowDxfId="176"/>
    <tableColumn id="12" xr3:uid="{24DED43B-9596-FD48-9633-A77446C30730}" name="Charge (Offensive)" dataDxfId="175" totalsRowDxfId="174"/>
    <tableColumn id="9" xr3:uid="{C57A2772-D739-4048-BE6A-B95F004F3075}" name="Charge (Defensive)" dataDxfId="173" totalsRowDxfId="172"/>
    <tableColumn id="7" xr3:uid="{C483B6DC-9770-48B2-B3D6-72FEC401E36B}" name="Field Goal (A)" dataDxfId="171" totalsRowDxfId="170"/>
    <tableColumn id="13" xr3:uid="{D9550862-C9B5-CE41-A383-E5A68FACA7FC}" name="Three Pointer (A)" dataDxfId="169" totalsRowDxfId="168"/>
    <tableColumn id="11" xr3:uid="{4539A49F-5AF0-2B4F-9B72-C30D9E6818FF}" name="Foul Shot (A)" dataDxfId="167" totalsRowDxfId="166"/>
    <tableColumn id="14" xr3:uid="{61DD41EA-CDE9-0D42-A513-0984770BC717}" name="Field Goal (M)" dataDxfId="165" totalsRowDxfId="164"/>
    <tableColumn id="15" xr3:uid="{ABD214C3-15A0-3744-8411-053D73CE7FFF}" name="Three Pointer (M)" dataDxfId="163" totalsRowDxfId="162"/>
    <tableColumn id="16" xr3:uid="{FBED477F-0BD5-3240-A619-E25159176C13}" name="Foul Shot (M)" dataDxfId="161" totalsRowDxfId="160"/>
    <tableColumn id="8" xr3:uid="{0B1A8243-3F3E-4C68-B5A6-2F6DE6001A27}" name="Points " totalsRowFunction="sum" dataDxfId="159" totalsRowDxfId="158"/>
    <tableColumn id="10" xr3:uid="{AB9781F0-EF91-43B8-A406-38C09F69BCCA}" name="Notes" dataDxfId="157" totalsRowDxfId="156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71630C-8A0C-4D12-93A5-4224DE4EDDB9}" name="Table156" displayName="Table156" ref="A1:AA12" totalsRowCount="1" headerRowDxfId="155" dataDxfId="154" totalsRowDxfId="153">
  <autoFilter ref="A1:AA11" xr:uid="{9289FB7A-F9FE-47B2-A61A-372F1EAF4D76}"/>
  <tableColumns count="27">
    <tableColumn id="1" xr3:uid="{BF240C73-DB34-494C-8ABC-E40C5C7E1BEF}" name="#" totalsRowLabel="TOTAL" dataDxfId="152" totalsRowDxfId="61"/>
    <tableColumn id="17" xr3:uid="{00CA8172-9C3B-4322-B43A-9391C665ECA1}" name="Name" dataDxfId="151" totalsRowDxfId="60"/>
    <tableColumn id="2" xr3:uid="{33E1CF54-E342-46C6-B58D-B6854F1B5830}" name="Steals" totalsRowFunction="custom" dataDxfId="150" totalsRowDxfId="59">
      <totalsRowFormula>SUM(Table156[Steals])</totalsRowFormula>
    </tableColumn>
    <tableColumn id="3" xr3:uid="{A8CB6AE6-217B-4824-90AF-6BF6FB56AEEE}" name="Turnovers" totalsRowFunction="custom" dataDxfId="149" totalsRowDxfId="58">
      <totalsRowFormula>SUM(Table156[Turnovers])</totalsRowFormula>
    </tableColumn>
    <tableColumn id="4" xr3:uid="{BDF4BCC1-F931-42FF-BFD9-0FA30C82AAD1}" name="Assists" totalsRowFunction="custom" dataDxfId="148" totalsRowDxfId="57">
      <totalsRowFormula>SUM(Table156[Assists])</totalsRowFormula>
    </tableColumn>
    <tableColumn id="5" xr3:uid="{1E7879B2-A4D5-48ED-ACF6-0E2012E5C94E}" name="Rebound (Offensive)" totalsRowFunction="custom" dataDxfId="147" totalsRowDxfId="56">
      <totalsRowFormula>SUM(Table156[Rebound (Offensive)])</totalsRowFormula>
    </tableColumn>
    <tableColumn id="6" xr3:uid="{97A429D4-DA85-4D4F-9793-25A62728EEAD}" name="Rebound (Defensive)" totalsRowFunction="custom" dataDxfId="146" totalsRowDxfId="55">
      <totalsRowFormula>SUM(Table156[Rebound (Defensive)])</totalsRowFormula>
    </tableColumn>
    <tableColumn id="12" xr3:uid="{67428B3D-24ED-4077-9237-8AEAA93B5EF8}" name="Charge (Offensive)" totalsRowFunction="custom" dataDxfId="145" totalsRowDxfId="54">
      <totalsRowFormula>SUM(Table156[Charge (Offensive)])</totalsRowFormula>
    </tableColumn>
    <tableColumn id="9" xr3:uid="{6CD39AC9-082A-44B2-9C72-EE2F3FC07269}" name="Charge (Defensive)" totalsRowFunction="custom" dataDxfId="144" totalsRowDxfId="53">
      <totalsRowFormula>SUM(Table156[Charge (Defensive)])</totalsRowFormula>
    </tableColumn>
    <tableColumn id="11" xr3:uid="{13E80339-C032-4E38-98CE-3CB44EC0C04E}" name="Foul Shot (A)" totalsRowFunction="custom" dataDxfId="143" totalsRowDxfId="52">
      <totalsRowFormula>SUM(Table156[Foul Shot (A)])</totalsRowFormula>
    </tableColumn>
    <tableColumn id="7" xr3:uid="{B0FEBAAF-BE4F-4F4A-B0F0-E30F55A359AB}" name="Field Goal (A)" totalsRowFunction="custom" dataDxfId="142" totalsRowDxfId="51">
      <totalsRowFormula>SUM(Table156[Field Goal (A)])</totalsRowFormula>
    </tableColumn>
    <tableColumn id="13" xr3:uid="{2C613005-7D73-40AD-8BB4-191329983311}" name="Three Pointer (A)" totalsRowFunction="custom" dataDxfId="141" totalsRowDxfId="50">
      <totalsRowFormula>SUM(Table156[Three Pointer (A)])</totalsRowFormula>
    </tableColumn>
    <tableColumn id="16" xr3:uid="{56A447A0-290A-4B55-8F90-D1965191B83F}" name="Foul Shot (M)" totalsRowFunction="custom" dataDxfId="140" totalsRowDxfId="49">
      <totalsRowFormula>SUM(Table156[Foul Shot (M)])</totalsRowFormula>
    </tableColumn>
    <tableColumn id="14" xr3:uid="{003E81BB-BD8D-4A6E-A7A8-DAD4D54D9A68}" name="Field Goal (M)" totalsRowFunction="custom" dataDxfId="139" totalsRowDxfId="48">
      <totalsRowFormula>SUM(Table156[Field Goal (M)])</totalsRowFormula>
    </tableColumn>
    <tableColumn id="15" xr3:uid="{DC52420E-8BE3-45A8-9CE9-BF658E7998DC}" name="Three Pointer (M)" totalsRowFunction="custom" dataDxfId="138" totalsRowDxfId="47">
      <totalsRowFormula>SUM(Table156[Three Pointer (M)])</totalsRowFormula>
    </tableColumn>
    <tableColumn id="8" xr3:uid="{FE8A99A6-9365-44B5-9E79-2B4E90963406}" name="Points " totalsRowFunction="custom" dataDxfId="137" totalsRowDxfId="46">
      <calculatedColumnFormula>(Table156[[#This Row],[Field Goal (M)]]*2)+(Table156[[#This Row],[Three Pointer (M)]]*3)+Table156[[#This Row],[Foul Shot (M)]]</calculatedColumnFormula>
      <totalsRowFormula>SUM(Table156[[Points ]])</totalsRowFormula>
    </tableColumn>
    <tableColumn id="18" xr3:uid="{28658326-BB82-4508-9B6B-2CF4E09B6C3F}" name="Fouls" totalsRowFunction="custom" dataDxfId="136" totalsRowDxfId="45">
      <totalsRowFormula>SUM(Table156[Fouls])</totalsRowFormula>
    </tableColumn>
    <tableColumn id="19" xr3:uid="{070A848B-D260-1448-9B6E-F9146423A0F4}" name="Foul Shot (%)" totalsRowFunction="custom" dataDxfId="135" totalsRowDxfId="44" dataCellStyle="Per cent">
      <calculatedColumnFormula>IFERROR(Table156[[#This Row],[Foul Shot (M)]]/Table156[[#This Row],[Foul Shot (A)]],0)</calculatedColumnFormula>
      <totalsRowFormula>Table156[[#Totals],[Foul Shot (M)]]/Table156[[#Totals],[Foul Shot (A)]]</totalsRowFormula>
    </tableColumn>
    <tableColumn id="20" xr3:uid="{02D4741E-B5CE-6A48-9465-A37A8EFDE0DC}" name="Field Goal (%)" totalsRowFunction="custom" dataDxfId="134" totalsRowDxfId="43" dataCellStyle="Per cent">
      <calculatedColumnFormula>IFERROR(Table156[[#This Row],[Field Goal (M)]]/Table156[[#This Row],[Field Goal (A)]],0)</calculatedColumnFormula>
      <totalsRowFormula>Table156[[#Totals],[Field Goal (M)]]/Table156[[#Totals],[Field Goal (A)]]</totalsRowFormula>
    </tableColumn>
    <tableColumn id="21" xr3:uid="{017A5119-2DEC-944D-93A0-E095BF61DD15}" name="Three Pointer (%)" totalsRowFunction="custom" dataDxfId="133" totalsRowDxfId="42" dataCellStyle="Per cent">
      <calculatedColumnFormula>IFERROR(Table156[[#This Row],[Three Pointer (M)]]/Table156[[#This Row],[Three Pointer (A)]],0)</calculatedColumnFormula>
      <totalsRowFormula>Table156[[#Totals],[Three Pointer (M)]]/Table156[[#Totals],[Three Pointer (A)]]</totalsRowFormula>
    </tableColumn>
    <tableColumn id="10" xr3:uid="{EF1E76F8-1598-440D-8D26-1AA99EA6AE30}" name="Notes" dataDxfId="132" totalsRowDxfId="41" dataCellStyle="Per cent"/>
    <tableColumn id="22" xr3:uid="{F7281873-0D69-2445-9FFB-23105C6C9BAF}" name="Foul Shot (A)2" dataDxfId="131" totalsRowDxfId="40">
      <calculatedColumnFormula>Table156[[#This Row],[Foul Shot (A)]]+Table156[[#This Row],[Foul Shot (M)]]</calculatedColumnFormula>
    </tableColumn>
    <tableColumn id="23" xr3:uid="{B13CFB8E-D24B-7C44-A3C2-4213C74BE24A}" name="Field Goal (A)3" dataDxfId="130" totalsRowDxfId="39">
      <calculatedColumnFormula>Table156[[#This Row],[Field Goal (A)]]+Table156[[#This Row],[Field Goal (M)]]</calculatedColumnFormula>
    </tableColumn>
    <tableColumn id="24" xr3:uid="{AC3BE468-0C00-9D4A-8811-62F0DB0F68B5}" name="Three Pointer (A)4" dataDxfId="30" totalsRowDxfId="38">
      <calculatedColumnFormula>SUM(Table156[[#This Row],[Three Pointer (A)]]+Table156[[#This Row],[Three Pointer (M)]])</calculatedColumnFormula>
    </tableColumn>
    <tableColumn id="25" xr3:uid="{FF6EE25A-19AC-9044-8204-C7063253A29B}" name="Offensive Rating" dataDxfId="29" totalsRowDxfId="37">
      <calculatedColumnFormula xml:space="preserve"> (0.5*P2)
  + (2*E2)
  + (3*F2)
  + (1*H2)
  + (2*J2)
  - (1*D2)
  + IF(S2&gt;0.4, (S2-0.4)*10, 0)
  + IF(T2&gt;0.3, (T2-0.3)*10, 0)
  + IF(R2&gt;0.7, (R2-0.7)*5, 0)</calculatedColumnFormula>
    </tableColumn>
    <tableColumn id="26" xr3:uid="{454F6FD1-B76A-B846-BFB7-07F6647D58A1}" name="Defensive Rating" dataDxfId="28" totalsRowDxfId="36">
      <calculatedColumnFormula xml:space="preserve"> (3*C2)
  + (2*G2)
  + (2*I2)</calculatedColumnFormula>
    </tableColumn>
    <tableColumn id="27" xr3:uid="{4645EF25-481D-7B43-AC17-89BD6BA8E4AE}" name="Combined Rating" dataDxfId="27" totalsRowDxfId="35">
      <calculatedColumnFormula xml:space="preserve"> Y2
  + Z2
  - IF(Q2&lt;4, 0, IF(Q2=4, 1, 3))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2B7DB2-F623-5E4D-BE8A-F09D2C058742}" name="Table1567" displayName="Table1567" ref="A1:AA12" totalsRowCount="1" headerRowDxfId="129" dataDxfId="128" totalsRowDxfId="127">
  <autoFilter ref="A1:AA11" xr:uid="{9289FB7A-F9FE-47B2-A61A-372F1EAF4D76}"/>
  <tableColumns count="27">
    <tableColumn id="1" xr3:uid="{C575C205-F231-4644-AA41-11177BFEC484}" name="#" totalsRowLabel="TOTAL" dataDxfId="126" totalsRowDxfId="26"/>
    <tableColumn id="17" xr3:uid="{EF1C1221-5AFA-844D-9D88-B6561201FD61}" name="Name" dataDxfId="125" totalsRowDxfId="25"/>
    <tableColumn id="2" xr3:uid="{9896CC92-DA81-1541-9916-C93795F39518}" name="Steals" totalsRowFunction="custom" dataDxfId="124" totalsRowDxfId="24">
      <totalsRowFormula>SUM(Table1567[Steals])</totalsRowFormula>
    </tableColumn>
    <tableColumn id="3" xr3:uid="{ED0E3991-F3E8-C74C-9C50-8BEDCD7DD8E3}" name="Turnovers" totalsRowFunction="custom" dataDxfId="123" totalsRowDxfId="23">
      <totalsRowFormula>SUM(Table1567[Turnovers])</totalsRowFormula>
    </tableColumn>
    <tableColumn id="4" xr3:uid="{76B829E8-C210-E548-A563-BC720211A5C8}" name="Assists" totalsRowFunction="custom" dataDxfId="122" totalsRowDxfId="22">
      <totalsRowFormula>SUM(Table1567[Assists])</totalsRowFormula>
    </tableColumn>
    <tableColumn id="5" xr3:uid="{B4F28D1D-02D2-4549-8B10-6530C44F982E}" name="Rebound (Offensive)" totalsRowFunction="custom" dataDxfId="121" totalsRowDxfId="21">
      <totalsRowFormula>SUM(Table1567[Rebound (Offensive)])</totalsRowFormula>
    </tableColumn>
    <tableColumn id="6" xr3:uid="{CF1E7D84-4175-0E4C-B420-8A262D3EF997}" name="Rebound (Defensive)" totalsRowFunction="custom" dataDxfId="120" totalsRowDxfId="20">
      <totalsRowFormula>SUM(Table1567[Rebound (Defensive)])</totalsRowFormula>
    </tableColumn>
    <tableColumn id="12" xr3:uid="{5B8A7688-3CB4-AC47-8F19-9C5937E9D56F}" name="Charge (Offensive)" totalsRowFunction="custom" dataDxfId="119" totalsRowDxfId="19">
      <totalsRowFormula>SUM(Table1567[Charge (Offensive)])</totalsRowFormula>
    </tableColumn>
    <tableColumn id="9" xr3:uid="{E29229C6-AA43-814D-86AA-C34621FC9DCA}" name="Charge (Defensive)" totalsRowFunction="custom" dataDxfId="118" totalsRowDxfId="18">
      <totalsRowFormula>SUM(Table1567[Charge (Defensive)])</totalsRowFormula>
    </tableColumn>
    <tableColumn id="11" xr3:uid="{024C6AD1-F452-B04F-A89F-C425DB2FF1F7}" name="Foul Shot (A)" totalsRowFunction="custom" dataDxfId="117" totalsRowDxfId="17">
      <totalsRowFormula>SUM(Table1567[Foul Shot (A)])</totalsRowFormula>
    </tableColumn>
    <tableColumn id="7" xr3:uid="{311CA17E-EA3C-7447-9141-3860FA178E30}" name="Field Goal (A)" totalsRowFunction="custom" dataDxfId="116" totalsRowDxfId="16">
      <totalsRowFormula>SUM(Table1567[Field Goal (A)])</totalsRowFormula>
    </tableColumn>
    <tableColumn id="13" xr3:uid="{C1FD786A-F593-1D45-93A5-5EC7CDA18028}" name="Three Pointer (A)" totalsRowFunction="custom" dataDxfId="115" totalsRowDxfId="15">
      <totalsRowFormula>SUM(Table1567[Three Pointer (A)])</totalsRowFormula>
    </tableColumn>
    <tableColumn id="16" xr3:uid="{DE16D232-C00A-4044-BBD0-E87960B64098}" name="Foul Shot (M)" totalsRowFunction="custom" dataDxfId="114" totalsRowDxfId="14">
      <totalsRowFormula>SUM(Table1567[Foul Shot (M)])</totalsRowFormula>
    </tableColumn>
    <tableColumn id="14" xr3:uid="{FE195FB6-7F07-F54B-8D35-F7CE471D17D9}" name="Field Goal (M)" totalsRowFunction="custom" dataDxfId="113" totalsRowDxfId="13">
      <totalsRowFormula>SUM(Table1567[Field Goal (M)])</totalsRowFormula>
    </tableColumn>
    <tableColumn id="15" xr3:uid="{72CC2E53-2C37-6948-A592-CDD1DE1E3449}" name="Three Pointer (M)" totalsRowFunction="custom" dataDxfId="112" totalsRowDxfId="12">
      <totalsRowFormula>SUM(Table1567[Three Pointer (M)])</totalsRowFormula>
    </tableColumn>
    <tableColumn id="8" xr3:uid="{015277DE-EB0F-3D41-AED3-D37613BDDF0D}" name="Points " totalsRowFunction="custom" dataDxfId="111" totalsRowDxfId="11">
      <calculatedColumnFormula>(Table1567[[#This Row],[Field Goal (M)]]*2)+(Table1567[[#This Row],[Three Pointer (M)]]*3)+Table1567[[#This Row],[Foul Shot (M)]]</calculatedColumnFormula>
      <totalsRowFormula>SUM(Table1567[[Points ]])</totalsRowFormula>
    </tableColumn>
    <tableColumn id="18" xr3:uid="{CB525E76-B62D-C743-A87E-3198787B09BC}" name="Fouls" totalsRowFunction="custom" dataDxfId="110" totalsRowDxfId="10">
      <totalsRowFormula>SUM(Table1567[Fouls])</totalsRowFormula>
    </tableColumn>
    <tableColumn id="19" xr3:uid="{7DA4741F-FA64-1B4B-9762-2362460FA26B}" name="Foul Shot (%)" totalsRowFunction="custom" dataDxfId="109" totalsRowDxfId="9">
      <calculatedColumnFormula>IFERROR(Table1567[[#This Row],[Foul Shot (M)]]/Table1567[[#This Row],[Foul Shot (A)]],0)</calculatedColumnFormula>
      <totalsRowFormula>Table1567[[#Totals],[Foul Shot (M)]]/Table1567[[#Totals],[Foul Shot (A)]]</totalsRowFormula>
    </tableColumn>
    <tableColumn id="20" xr3:uid="{67F6106E-3741-6949-B379-20BFE0AAB1F1}" name="Field Goal (%)" totalsRowFunction="custom" dataDxfId="108" totalsRowDxfId="8">
      <calculatedColumnFormula>IFERROR(Table1567[[#This Row],[Field Goal (M)]]/Table1567[[#This Row],[Field Goal (A)]],0)</calculatedColumnFormula>
      <totalsRowFormula>Table1567[[#Totals],[Field Goal (M)]]/Table1567[[#Totals],[Field Goal (A)]]</totalsRowFormula>
    </tableColumn>
    <tableColumn id="21" xr3:uid="{FBEA87BF-43C6-8E49-A3E4-25BAF10B7C96}" name="Three Pointer (%)" totalsRowFunction="custom" dataDxfId="107" totalsRowDxfId="7" dataCellStyle="Per cent">
      <calculatedColumnFormula>IFERROR(Table1567[[#This Row],[Three Pointer (M)]]/Table1567[[#This Row],[Three Pointer (A)]],0)</calculatedColumnFormula>
      <totalsRowFormula>Table1567[[#Totals],[Three Pointer (M)]]/Table1567[[#Totals],[Three Pointer (A)]]</totalsRowFormula>
    </tableColumn>
    <tableColumn id="10" xr3:uid="{BAD9A110-2F95-914E-9FDC-62B5D1F5082C}" name="Notes" dataDxfId="106" totalsRowDxfId="6"/>
    <tableColumn id="22" xr3:uid="{5898A258-E89D-A64D-8F00-ED77F1863EBD}" name="Foul Shot (A)2" dataDxfId="105" totalsRowDxfId="5">
      <calculatedColumnFormula>SUM(Table1567[[#This Row],[Foul Shot (A)]]+Table1567[[#This Row],[Foul Shot (M)]])</calculatedColumnFormula>
    </tableColumn>
    <tableColumn id="23" xr3:uid="{770FCC57-201F-834A-8039-4E42E0097422}" name="Field Goal (A)3" dataDxfId="104" totalsRowDxfId="4">
      <calculatedColumnFormula>SUM(Table1567[[#This Row],[Field Goal (A)]]+Table1567[[#This Row],[Field Goal (M)]])</calculatedColumnFormula>
    </tableColumn>
    <tableColumn id="24" xr3:uid="{C73B3A29-80C9-C64B-A564-88EBF6A57CEB}" name="Three Pointer (A)4" dataDxfId="34" totalsRowDxfId="3">
      <calculatedColumnFormula>SUM(Table1567[[#This Row],[Three Pointer (A)]]+Table1567[[#This Row],[Three Pointer (M)]])</calculatedColumnFormula>
    </tableColumn>
    <tableColumn id="25" xr3:uid="{867573E3-D54E-AB4B-AF01-52B998C3ED0D}" name="Offensive Rating" dataDxfId="33" totalsRowDxfId="2">
      <calculatedColumnFormula xml:space="preserve"> (0.5*P2)
  + (2*E2)
  + (3*F2)
  + (1*H2)
  + (2*J2)
  - (1*D2)
  + IF(S2&gt;0.4, (S2-0.4)*10, 0)
  + IF(T2&gt;0.3, (T2-0.3)*10, 0)
  + IF(R2&gt;0.7, (R2-0.7)*5, 0)</calculatedColumnFormula>
    </tableColumn>
    <tableColumn id="26" xr3:uid="{9C8F25AA-7FA3-4D41-A176-419DB348A506}" name="Defensive Rating" dataDxfId="32" totalsRowDxfId="1">
      <calculatedColumnFormula xml:space="preserve"> (3*C2)
  + (2*G2)
  + (2*I2)</calculatedColumnFormula>
    </tableColumn>
    <tableColumn id="27" xr3:uid="{855C0521-8574-3A41-96A6-A5CEDE6265FB}" name="Combined Rating" dataDxfId="31" totalsRowDxfId="0">
      <calculatedColumnFormula xml:space="preserve"> Y2
  + Z2
  - IF(Q2&lt;4, 0, IF(Q2=4, 1, 3))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5F5190-7923-AA47-94BD-06EB5CE9D4CF}" name="Table15" displayName="Table15" ref="A1:R12" totalsRowCount="1" headerRowDxfId="103" dataDxfId="102" totalsRowDxfId="101">
  <autoFilter ref="A1:R11" xr:uid="{9289FB7A-F9FE-47B2-A61A-372F1EAF4D76}"/>
  <tableColumns count="18">
    <tableColumn id="1" xr3:uid="{62D4EE4D-C20B-864B-9187-DDCFE82FE18B}" name="#" totalsRowLabel="TOTAL" dataDxfId="100" totalsRowDxfId="99"/>
    <tableColumn id="17" xr3:uid="{8D5F1A19-007B-7147-AF72-3693ED107653}" name="Name" dataDxfId="98" totalsRowDxfId="97"/>
    <tableColumn id="2" xr3:uid="{AFEC4163-23CE-794F-8411-5EBE02F3314C}" name="Steals" totalsRowFunction="custom" dataDxfId="96" totalsRowDxfId="95">
      <totalsRowFormula>SUM(Table15[Steals])</totalsRowFormula>
    </tableColumn>
    <tableColumn id="3" xr3:uid="{55C71104-A5CC-5B4A-85AD-CDDDFFFC9E0B}" name="Turnovers" totalsRowFunction="custom" dataDxfId="94" totalsRowDxfId="93">
      <totalsRowFormula>SUM(Table15[Turnovers])</totalsRowFormula>
    </tableColumn>
    <tableColumn id="4" xr3:uid="{0A5F08E2-08E5-224B-8899-3BAA76F29F03}" name="Assists" totalsRowFunction="custom" dataDxfId="92" totalsRowDxfId="91">
      <totalsRowFormula>SUM(Table15[Assists])</totalsRowFormula>
    </tableColumn>
    <tableColumn id="5" xr3:uid="{4637DF51-6285-274D-AE77-A78C08833436}" name="Rebound (Offensive)" totalsRowFunction="custom" dataDxfId="90" totalsRowDxfId="89">
      <totalsRowFormula>SUM(Table15[Rebound (Offensive)])</totalsRowFormula>
    </tableColumn>
    <tableColumn id="6" xr3:uid="{F5E9E444-BC58-F240-953D-4F06EEDC88E8}" name="Rebound (Defensive)" totalsRowFunction="custom" dataDxfId="88" totalsRowDxfId="87">
      <totalsRowFormula>SUM(Table15[Rebound (Defensive)])</totalsRowFormula>
    </tableColumn>
    <tableColumn id="12" xr3:uid="{4D352443-4EDA-844C-8833-71848E9987A7}" name="Charge (Offensive)" totalsRowFunction="custom" dataDxfId="86" totalsRowDxfId="85">
      <totalsRowFormula>SUM(Table15[Charge (Offensive)])</totalsRowFormula>
    </tableColumn>
    <tableColumn id="9" xr3:uid="{BDA422A5-F0F2-E347-8342-676DF7B0AE26}" name="Charge (Defensive)" totalsRowFunction="custom" dataDxfId="84" totalsRowDxfId="83">
      <totalsRowFormula>SUM(Table15[Charge (Defensive)])</totalsRowFormula>
    </tableColumn>
    <tableColumn id="7" xr3:uid="{71017EB4-69AC-CC43-9505-3DCF1281384D}" name="Field Goal (A)" totalsRowFunction="custom" dataDxfId="82" totalsRowDxfId="81">
      <totalsRowFormula>SUM(Table15[Field Goal (A)])</totalsRowFormula>
    </tableColumn>
    <tableColumn id="13" xr3:uid="{7A81D1F6-F704-CB47-A5C6-32B2A8CC83BD}" name="Three Pointer (A)" totalsRowFunction="custom" dataDxfId="80" totalsRowDxfId="79">
      <totalsRowFormula>SUM(Table15[Three Pointer (A)])</totalsRowFormula>
    </tableColumn>
    <tableColumn id="11" xr3:uid="{C9C5C64D-B6D2-0F43-B742-81C7D92AD0D7}" name="Foul Shot (A)" totalsRowFunction="custom" dataDxfId="78" totalsRowDxfId="77">
      <totalsRowFormula>SUM(Table15[Foul Shot (A)])</totalsRowFormula>
    </tableColumn>
    <tableColumn id="14" xr3:uid="{BCB58A41-91E6-D644-8402-3BEE1D301972}" name="Field Goal (M)" totalsRowFunction="custom" dataDxfId="76" totalsRowDxfId="75">
      <totalsRowFormula>SUM(Table15[Field Goal (M)])</totalsRowFormula>
    </tableColumn>
    <tableColumn id="15" xr3:uid="{3427C1D8-11B9-C448-8CFC-73CBE605A5BD}" name="Three Pointer (M)" totalsRowFunction="custom" dataDxfId="74" totalsRowDxfId="73">
      <totalsRowFormula>SUM(Table15[Three Pointer (M)])</totalsRowFormula>
    </tableColumn>
    <tableColumn id="16" xr3:uid="{9485E5E0-7533-B04C-BA17-A3336F51A3F7}" name="Foul Shot (M)" totalsRowFunction="custom" dataDxfId="72" totalsRowDxfId="71">
      <totalsRowFormula>SUM(Table15[Foul Shot (M)])</totalsRowFormula>
    </tableColumn>
    <tableColumn id="8" xr3:uid="{5A66CC86-7A2A-F946-9EB5-BE2F1815C28E}" name="Points " totalsRowFunction="custom" dataDxfId="70" totalsRowDxfId="69">
      <totalsRowFormula>SUM(Table15[[Points ]])</totalsRowFormula>
    </tableColumn>
    <tableColumn id="18" xr3:uid="{770C0366-2674-CE42-9626-8FC9CBE2DD4A}" name="Fouls" dataDxfId="68" totalsRowDxfId="67"/>
    <tableColumn id="10" xr3:uid="{6C63BB21-597E-DE46-8756-211705B4DCC1}" name="Notes" dataDxfId="66" totalsRowDxfId="6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55F6-9F6B-4BB0-AC45-7ED2A8DD3F54}">
  <dimension ref="A1:I12"/>
  <sheetViews>
    <sheetView workbookViewId="0"/>
  </sheetViews>
  <sheetFormatPr baseColWidth="10" defaultColWidth="8.83203125" defaultRowHeight="19" x14ac:dyDescent="0.25"/>
  <cols>
    <col min="1" max="1" width="20" style="1" customWidth="1"/>
    <col min="2" max="2" width="18.5" bestFit="1" customWidth="1"/>
    <col min="3" max="3" width="14.83203125" bestFit="1" customWidth="1"/>
    <col min="5" max="5" width="20" bestFit="1" customWidth="1"/>
    <col min="6" max="6" width="20.33203125" bestFit="1" customWidth="1"/>
    <col min="7" max="7" width="13.83203125" bestFit="1" customWidth="1"/>
    <col min="8" max="8" width="15.5" customWidth="1"/>
    <col min="9" max="9" width="12.6640625" customWidth="1"/>
  </cols>
  <sheetData>
    <row r="1" spans="1:9" ht="32.2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34.5" customHeight="1" x14ac:dyDescent="0.25">
      <c r="A2" s="1" t="s">
        <v>9</v>
      </c>
      <c r="B2" s="2"/>
      <c r="C2" s="2"/>
      <c r="D2" s="2"/>
      <c r="E2" s="2"/>
      <c r="F2" s="2">
        <v>1</v>
      </c>
      <c r="G2" s="2"/>
      <c r="H2" s="2"/>
      <c r="I2" s="2"/>
    </row>
    <row r="3" spans="1:9" ht="35.25" customHeight="1" x14ac:dyDescent="0.25">
      <c r="A3" s="1" t="s">
        <v>10</v>
      </c>
      <c r="B3" s="2"/>
      <c r="C3" s="2">
        <v>2</v>
      </c>
      <c r="D3" s="2">
        <v>1</v>
      </c>
      <c r="E3" s="2">
        <v>1</v>
      </c>
      <c r="F3" s="2">
        <v>1</v>
      </c>
      <c r="G3" s="3" t="s">
        <v>11</v>
      </c>
      <c r="H3" s="2"/>
      <c r="I3" s="2"/>
    </row>
    <row r="4" spans="1:9" ht="34.5" customHeight="1" x14ac:dyDescent="0.25">
      <c r="A4" s="1" t="s">
        <v>12</v>
      </c>
      <c r="B4" s="2">
        <v>2</v>
      </c>
      <c r="C4" s="2"/>
      <c r="D4" s="2"/>
      <c r="E4" s="2"/>
      <c r="F4" s="2">
        <v>1</v>
      </c>
      <c r="G4" s="2"/>
      <c r="H4" s="2">
        <v>2</v>
      </c>
      <c r="I4" s="2"/>
    </row>
    <row r="5" spans="1:9" ht="34.5" customHeight="1" x14ac:dyDescent="0.25">
      <c r="A5" s="1" t="s">
        <v>13</v>
      </c>
      <c r="B5" s="2">
        <v>5</v>
      </c>
      <c r="C5" s="2">
        <v>1</v>
      </c>
      <c r="D5" s="2"/>
      <c r="E5" s="2"/>
      <c r="F5" s="2"/>
      <c r="G5" s="2">
        <v>2</v>
      </c>
      <c r="H5" s="2">
        <v>7</v>
      </c>
      <c r="I5" s="2"/>
    </row>
    <row r="6" spans="1:9" ht="37.5" customHeight="1" x14ac:dyDescent="0.25">
      <c r="A6" s="1" t="s">
        <v>14</v>
      </c>
      <c r="B6" s="2">
        <v>1</v>
      </c>
      <c r="C6" s="2">
        <v>1</v>
      </c>
      <c r="D6" s="2"/>
      <c r="E6" s="2">
        <v>2</v>
      </c>
      <c r="F6" s="2">
        <v>1</v>
      </c>
      <c r="G6" s="2">
        <v>1</v>
      </c>
      <c r="H6" s="2">
        <v>2</v>
      </c>
      <c r="I6" s="2"/>
    </row>
    <row r="7" spans="1:9" ht="31.5" customHeight="1" x14ac:dyDescent="0.25">
      <c r="A7" s="1" t="s">
        <v>15</v>
      </c>
      <c r="B7" s="2">
        <v>2</v>
      </c>
      <c r="C7" s="2">
        <v>1</v>
      </c>
      <c r="D7" s="2"/>
      <c r="E7" s="2"/>
      <c r="F7" s="2">
        <v>1</v>
      </c>
      <c r="G7" s="2">
        <v>4</v>
      </c>
      <c r="H7" s="2">
        <v>2</v>
      </c>
      <c r="I7" s="2"/>
    </row>
    <row r="8" spans="1:9" ht="35.25" customHeight="1" x14ac:dyDescent="0.25">
      <c r="A8" s="1" t="s">
        <v>16</v>
      </c>
      <c r="B8" s="2"/>
      <c r="C8" s="2">
        <v>3</v>
      </c>
      <c r="D8" s="2"/>
      <c r="E8" s="2"/>
      <c r="F8" s="2">
        <v>1</v>
      </c>
      <c r="G8" s="2">
        <v>4</v>
      </c>
      <c r="H8" s="2">
        <v>3</v>
      </c>
      <c r="I8" s="2"/>
    </row>
    <row r="9" spans="1:9" ht="30.75" customHeight="1" x14ac:dyDescent="0.25">
      <c r="A9" s="1" t="s">
        <v>17</v>
      </c>
      <c r="B9" s="2">
        <v>1</v>
      </c>
      <c r="C9" s="2">
        <v>4</v>
      </c>
      <c r="D9" s="2"/>
      <c r="E9" s="2">
        <v>1</v>
      </c>
      <c r="F9" s="2">
        <v>1</v>
      </c>
      <c r="G9" s="2">
        <v>3</v>
      </c>
      <c r="H9" s="2">
        <v>2</v>
      </c>
      <c r="I9" s="2"/>
    </row>
    <row r="10" spans="1:9" ht="33.75" customHeight="1" x14ac:dyDescent="0.25">
      <c r="A10" s="1" t="s">
        <v>18</v>
      </c>
      <c r="B10" s="2">
        <v>1</v>
      </c>
      <c r="C10" s="2">
        <v>1</v>
      </c>
      <c r="D10" s="2"/>
      <c r="E10" s="2"/>
      <c r="F10" s="2">
        <v>2</v>
      </c>
      <c r="G10" s="2"/>
      <c r="H10" s="2">
        <v>2</v>
      </c>
      <c r="I10" s="2"/>
    </row>
    <row r="11" spans="1:9" ht="33" customHeight="1" x14ac:dyDescent="0.25">
      <c r="A11" s="1" t="s">
        <v>19</v>
      </c>
      <c r="B11" s="2">
        <v>2</v>
      </c>
      <c r="C11" s="2">
        <v>1</v>
      </c>
      <c r="D11" s="2"/>
      <c r="E11" s="2">
        <v>2</v>
      </c>
      <c r="F11" s="2">
        <v>1</v>
      </c>
      <c r="G11" s="2" t="s">
        <v>20</v>
      </c>
      <c r="H11" s="2">
        <v>5</v>
      </c>
      <c r="I11" s="2"/>
    </row>
    <row r="12" spans="1:9" x14ac:dyDescent="0.25">
      <c r="B12" s="2">
        <f>SUBTOTAL(109,Table13[Turn Over Against])</f>
        <v>14</v>
      </c>
      <c r="C12" s="2">
        <f>SUBTOTAL(109,Table13[Turn Over For])</f>
        <v>14</v>
      </c>
      <c r="D12" s="2"/>
      <c r="E12" s="2">
        <f>SUBTOTAL(109,Table13[Offensive Rebound])</f>
        <v>6</v>
      </c>
      <c r="F12" s="2">
        <f>SUBTOTAL(109,Table13[Defensive Rebound])</f>
        <v>10</v>
      </c>
      <c r="G12" s="2"/>
      <c r="H12" s="2">
        <f>SUBTOTAL(109,Table13[[Points ]])</f>
        <v>25</v>
      </c>
      <c r="I1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3FA5-72E5-4BBC-88A2-A4ABC1719B10}">
  <dimension ref="A1:J12"/>
  <sheetViews>
    <sheetView workbookViewId="0">
      <selection activeCell="E20" sqref="E20"/>
    </sheetView>
  </sheetViews>
  <sheetFormatPr baseColWidth="10" defaultColWidth="8.83203125" defaultRowHeight="19" x14ac:dyDescent="0.25"/>
  <cols>
    <col min="1" max="1" width="20" style="1" customWidth="1"/>
    <col min="2" max="2" width="18.5" bestFit="1" customWidth="1"/>
    <col min="3" max="3" width="14.83203125" bestFit="1" customWidth="1"/>
    <col min="5" max="5" width="20" bestFit="1" customWidth="1"/>
    <col min="6" max="6" width="20.33203125" bestFit="1" customWidth="1"/>
    <col min="7" max="7" width="13.83203125" bestFit="1" customWidth="1"/>
    <col min="8" max="8" width="15.5" customWidth="1"/>
    <col min="9" max="9" width="12.6640625" customWidth="1"/>
  </cols>
  <sheetData>
    <row r="1" spans="1:10" ht="32.25" customHeight="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 ht="34.5" customHeight="1" x14ac:dyDescent="0.25">
      <c r="A2" s="1" t="s">
        <v>9</v>
      </c>
      <c r="B2" s="2"/>
      <c r="C2" s="2"/>
      <c r="D2" s="2"/>
      <c r="E2" s="2"/>
      <c r="F2" s="2">
        <v>1</v>
      </c>
      <c r="G2" s="2"/>
      <c r="H2" s="2"/>
      <c r="I2" s="2"/>
      <c r="J2" s="2"/>
    </row>
    <row r="3" spans="1:10" ht="35.25" customHeight="1" x14ac:dyDescent="0.25">
      <c r="A3" s="1" t="s">
        <v>10</v>
      </c>
      <c r="B3" s="2">
        <v>3</v>
      </c>
      <c r="C3" s="2">
        <v>1</v>
      </c>
      <c r="D3" s="2"/>
      <c r="E3" s="2">
        <v>3</v>
      </c>
      <c r="F3" s="2"/>
      <c r="G3" s="3" t="s">
        <v>22</v>
      </c>
      <c r="H3" s="2"/>
      <c r="I3" s="2" t="s">
        <v>23</v>
      </c>
      <c r="J3" s="2"/>
    </row>
    <row r="4" spans="1:10" ht="34.5" customHeight="1" x14ac:dyDescent="0.25">
      <c r="A4" s="1" t="s">
        <v>12</v>
      </c>
      <c r="B4" s="2">
        <v>1</v>
      </c>
      <c r="C4" s="2">
        <v>1</v>
      </c>
      <c r="D4" s="2">
        <v>1</v>
      </c>
      <c r="E4" s="2"/>
      <c r="F4" s="2"/>
      <c r="G4" s="2">
        <v>2</v>
      </c>
      <c r="H4" s="2">
        <v>8</v>
      </c>
      <c r="I4" s="2"/>
      <c r="J4" s="2"/>
    </row>
    <row r="5" spans="1:10" ht="34.5" customHeight="1" x14ac:dyDescent="0.25">
      <c r="A5" s="1" t="s">
        <v>13</v>
      </c>
      <c r="B5" s="2">
        <v>1</v>
      </c>
      <c r="C5" s="2">
        <v>4</v>
      </c>
      <c r="D5" s="2"/>
      <c r="E5" s="2"/>
      <c r="F5" s="2">
        <v>1</v>
      </c>
      <c r="G5" s="2">
        <v>3</v>
      </c>
      <c r="H5" s="2">
        <v>8</v>
      </c>
      <c r="I5" s="2"/>
      <c r="J5" s="2"/>
    </row>
    <row r="6" spans="1:10" ht="37.5" customHeight="1" x14ac:dyDescent="0.25">
      <c r="A6" s="1" t="s">
        <v>14</v>
      </c>
      <c r="B6" s="2">
        <v>1</v>
      </c>
      <c r="C6" s="2">
        <v>1</v>
      </c>
      <c r="D6" s="2"/>
      <c r="E6" s="2"/>
      <c r="F6" s="2">
        <v>1</v>
      </c>
      <c r="G6" s="2"/>
      <c r="H6" s="2">
        <v>2</v>
      </c>
      <c r="I6" s="2"/>
      <c r="J6" s="2"/>
    </row>
    <row r="7" spans="1:10" ht="31.5" customHeight="1" x14ac:dyDescent="0.25">
      <c r="A7" s="1" t="s">
        <v>15</v>
      </c>
      <c r="B7" s="2">
        <v>1</v>
      </c>
      <c r="C7" s="2"/>
      <c r="D7" s="2">
        <v>1</v>
      </c>
      <c r="E7" s="2">
        <v>1</v>
      </c>
      <c r="F7" s="2">
        <v>1</v>
      </c>
      <c r="G7" s="2" t="s">
        <v>24</v>
      </c>
      <c r="H7" s="2"/>
      <c r="I7" s="2"/>
      <c r="J7" s="2"/>
    </row>
    <row r="8" spans="1:10" ht="35.25" customHeight="1" x14ac:dyDescent="0.25">
      <c r="A8" s="1" t="s">
        <v>16</v>
      </c>
      <c r="B8" s="2"/>
      <c r="C8" s="2"/>
      <c r="D8" s="2"/>
      <c r="E8" s="2"/>
      <c r="F8" s="2"/>
      <c r="G8" s="2"/>
      <c r="H8" s="2"/>
      <c r="I8" s="2"/>
      <c r="J8" s="2" t="s">
        <v>25</v>
      </c>
    </row>
    <row r="9" spans="1:10" ht="30.75" customHeight="1" x14ac:dyDescent="0.25">
      <c r="A9" s="1" t="s">
        <v>17</v>
      </c>
      <c r="B9" s="2">
        <v>1</v>
      </c>
      <c r="C9" s="2"/>
      <c r="D9" s="2"/>
      <c r="E9" s="2"/>
      <c r="F9" s="2">
        <v>1</v>
      </c>
      <c r="G9" s="2"/>
      <c r="H9" s="2">
        <v>6</v>
      </c>
      <c r="I9" s="2"/>
      <c r="J9" s="2"/>
    </row>
    <row r="10" spans="1:10" ht="33.75" customHeight="1" x14ac:dyDescent="0.25">
      <c r="A10" s="1" t="s">
        <v>18</v>
      </c>
      <c r="B10" s="2">
        <v>2</v>
      </c>
      <c r="C10" s="2">
        <v>1</v>
      </c>
      <c r="D10" s="2"/>
      <c r="E10" s="2">
        <v>1</v>
      </c>
      <c r="F10" s="2">
        <v>1</v>
      </c>
      <c r="G10" s="2">
        <v>2</v>
      </c>
      <c r="H10" s="2">
        <v>10</v>
      </c>
      <c r="I10" s="2"/>
      <c r="J10" s="2"/>
    </row>
    <row r="11" spans="1:10" ht="33" customHeight="1" x14ac:dyDescent="0.25">
      <c r="A11" s="1" t="s">
        <v>19</v>
      </c>
      <c r="B11" s="2">
        <v>2</v>
      </c>
      <c r="C11" s="2">
        <v>1</v>
      </c>
      <c r="D11" s="2">
        <v>1</v>
      </c>
      <c r="E11" s="2">
        <v>3</v>
      </c>
      <c r="F11" s="2"/>
      <c r="G11" s="2" t="s">
        <v>22</v>
      </c>
      <c r="H11" s="2">
        <v>2</v>
      </c>
      <c r="I11" s="2"/>
      <c r="J11" s="2"/>
    </row>
    <row r="12" spans="1:10" x14ac:dyDescent="0.25">
      <c r="B12" s="2">
        <f>SUBTOTAL(109,Table14[Turn Over Against])</f>
        <v>12</v>
      </c>
      <c r="C12" s="2">
        <f>SUBTOTAL(109,Table14[Turn Over For])</f>
        <v>9</v>
      </c>
      <c r="D12" s="2"/>
      <c r="E12" s="2">
        <f>SUBTOTAL(109,Table14[Offensive Rebound])</f>
        <v>8</v>
      </c>
      <c r="F12" s="2">
        <f>SUBTOTAL(109,Table14[Defensive Rebound])</f>
        <v>6</v>
      </c>
      <c r="G12" s="2"/>
      <c r="H12" s="2">
        <f>SUBTOTAL(109,Table14[[Points ]])</f>
        <v>36</v>
      </c>
      <c r="I12" s="2"/>
      <c r="J1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zoomScale="97" workbookViewId="0">
      <selection activeCell="D18" sqref="D18"/>
    </sheetView>
  </sheetViews>
  <sheetFormatPr baseColWidth="10" defaultColWidth="8.83203125" defaultRowHeight="19" x14ac:dyDescent="0.25"/>
  <cols>
    <col min="1" max="2" width="20" style="1" customWidth="1"/>
    <col min="3" max="3" width="18.5" style="1" bestFit="1" customWidth="1"/>
    <col min="4" max="4" width="14.83203125" style="1" bestFit="1" customWidth="1"/>
    <col min="5" max="5" width="14" style="1" customWidth="1"/>
    <col min="6" max="6" width="20" style="1" bestFit="1" customWidth="1"/>
    <col min="7" max="7" width="20.33203125" style="1" bestFit="1" customWidth="1"/>
    <col min="8" max="8" width="15.5" style="1" customWidth="1"/>
    <col min="9" max="9" width="12.6640625" style="1" customWidth="1"/>
    <col min="10" max="10" width="23.33203125" style="1" bestFit="1" customWidth="1"/>
    <col min="11" max="11" width="23.33203125" style="1" customWidth="1"/>
    <col min="12" max="12" width="22.5" style="1" bestFit="1" customWidth="1"/>
    <col min="13" max="15" width="22.5" style="1" customWidth="1"/>
    <col min="16" max="16" width="15.5" style="1" customWidth="1"/>
    <col min="19" max="19" width="27" style="1" customWidth="1"/>
    <col min="20" max="16384" width="8.83203125" style="1"/>
  </cols>
  <sheetData>
    <row r="1" spans="1:19" ht="32.25" customHeight="1" x14ac:dyDescent="0.25">
      <c r="A1" s="1" t="s">
        <v>26</v>
      </c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7</v>
      </c>
      <c r="Q1" s="1" t="s">
        <v>40</v>
      </c>
      <c r="R1" s="1"/>
    </row>
    <row r="2" spans="1:19" ht="34.5" customHeight="1" x14ac:dyDescent="0.25">
      <c r="B2" s="1" t="s">
        <v>9</v>
      </c>
      <c r="C2" s="5"/>
      <c r="D2" s="5">
        <v>3</v>
      </c>
      <c r="E2" s="5"/>
      <c r="F2" s="5">
        <v>3</v>
      </c>
      <c r="G2" s="5">
        <v>5</v>
      </c>
      <c r="H2" s="5"/>
      <c r="I2" s="5">
        <v>1</v>
      </c>
      <c r="J2" s="5">
        <v>2</v>
      </c>
      <c r="K2" s="5"/>
      <c r="L2" s="5"/>
      <c r="M2" s="5"/>
      <c r="N2" s="5"/>
      <c r="O2" s="5"/>
      <c r="P2" s="5"/>
      <c r="Q2" s="5"/>
      <c r="R2" s="1"/>
    </row>
    <row r="3" spans="1:19" ht="35.25" customHeight="1" x14ac:dyDescent="0.25">
      <c r="B3" s="1" t="s">
        <v>10</v>
      </c>
      <c r="C3" s="5">
        <v>4</v>
      </c>
      <c r="D3" s="5"/>
      <c r="E3" s="5"/>
      <c r="F3" s="5">
        <v>1</v>
      </c>
      <c r="G3" s="5">
        <v>2</v>
      </c>
      <c r="H3" s="5"/>
      <c r="I3" s="5"/>
      <c r="J3" s="6"/>
      <c r="K3" s="6"/>
      <c r="L3" s="6"/>
      <c r="M3" s="6"/>
      <c r="N3" s="6"/>
      <c r="O3" s="6"/>
      <c r="P3" s="5">
        <v>6</v>
      </c>
      <c r="Q3" s="5"/>
      <c r="R3" s="1"/>
    </row>
    <row r="4" spans="1:19" ht="34.5" customHeight="1" x14ac:dyDescent="0.25">
      <c r="B4" s="1" t="s">
        <v>12</v>
      </c>
      <c r="C4" s="5">
        <v>2</v>
      </c>
      <c r="D4" s="5">
        <v>2</v>
      </c>
      <c r="E4" s="5">
        <v>1</v>
      </c>
      <c r="F4" s="5">
        <v>2</v>
      </c>
      <c r="G4" s="5"/>
      <c r="H4" s="5"/>
      <c r="I4" s="5"/>
      <c r="J4" s="5">
        <v>3</v>
      </c>
      <c r="K4" s="5"/>
      <c r="L4" s="5"/>
      <c r="M4" s="5"/>
      <c r="N4" s="5"/>
      <c r="O4" s="5"/>
      <c r="P4" s="5">
        <v>9</v>
      </c>
      <c r="Q4" s="5"/>
      <c r="R4" s="1"/>
    </row>
    <row r="5" spans="1:19" ht="34.5" customHeight="1" x14ac:dyDescent="0.25">
      <c r="B5" s="1" t="s">
        <v>13</v>
      </c>
      <c r="C5" s="5">
        <v>1</v>
      </c>
      <c r="D5" s="5">
        <v>3</v>
      </c>
      <c r="E5" s="5"/>
      <c r="F5" s="5"/>
      <c r="G5" s="5">
        <v>1</v>
      </c>
      <c r="H5" s="5"/>
      <c r="I5" s="5"/>
      <c r="J5" s="5">
        <v>3</v>
      </c>
      <c r="K5" s="5"/>
      <c r="L5" s="5"/>
      <c r="M5" s="5"/>
      <c r="N5" s="5"/>
      <c r="O5" s="5"/>
      <c r="P5" s="5">
        <v>7</v>
      </c>
      <c r="Q5" s="5"/>
      <c r="R5" s="1"/>
    </row>
    <row r="6" spans="1:19" ht="37.5" customHeight="1" x14ac:dyDescent="0.25">
      <c r="B6" s="1" t="s">
        <v>14</v>
      </c>
      <c r="C6" s="5">
        <v>2</v>
      </c>
      <c r="D6" s="5"/>
      <c r="E6" s="5"/>
      <c r="F6" s="5">
        <v>4</v>
      </c>
      <c r="G6" s="5">
        <v>3</v>
      </c>
      <c r="H6" s="5"/>
      <c r="I6" s="5"/>
      <c r="J6" s="5"/>
      <c r="K6" s="5"/>
      <c r="L6" s="5">
        <v>1</v>
      </c>
      <c r="M6" s="5"/>
      <c r="N6" s="5"/>
      <c r="O6" s="5"/>
      <c r="P6" s="5"/>
      <c r="Q6" s="5"/>
      <c r="R6" s="1"/>
    </row>
    <row r="7" spans="1:19" ht="31.5" customHeight="1" x14ac:dyDescent="0.25">
      <c r="B7" s="1" t="s">
        <v>15</v>
      </c>
      <c r="C7" s="5"/>
      <c r="D7" s="5">
        <v>1</v>
      </c>
      <c r="E7" s="5"/>
      <c r="F7" s="5"/>
      <c r="G7" s="5">
        <v>1</v>
      </c>
      <c r="H7" s="5"/>
      <c r="I7" s="5"/>
      <c r="J7" s="5">
        <v>1</v>
      </c>
      <c r="K7" s="5"/>
      <c r="L7" s="5"/>
      <c r="M7" s="5"/>
      <c r="N7" s="5"/>
      <c r="O7" s="5"/>
      <c r="P7" s="5">
        <v>2</v>
      </c>
      <c r="Q7" s="5"/>
      <c r="R7" s="1"/>
    </row>
    <row r="8" spans="1:19" ht="35.25" customHeight="1" x14ac:dyDescent="0.25">
      <c r="B8" s="1" t="s">
        <v>16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25</v>
      </c>
      <c r="R8" s="1"/>
    </row>
    <row r="9" spans="1:19" ht="30.75" customHeight="1" x14ac:dyDescent="0.25">
      <c r="B9" s="1" t="s">
        <v>17</v>
      </c>
      <c r="C9" s="5">
        <v>2</v>
      </c>
      <c r="D9" s="5">
        <v>2</v>
      </c>
      <c r="E9" s="5">
        <v>1</v>
      </c>
      <c r="F9" s="5"/>
      <c r="G9" s="5"/>
      <c r="H9" s="5"/>
      <c r="I9" s="5"/>
      <c r="J9" s="5">
        <v>1</v>
      </c>
      <c r="K9" s="5"/>
      <c r="L9" s="5">
        <v>2</v>
      </c>
      <c r="M9" s="5"/>
      <c r="N9" s="5"/>
      <c r="O9" s="5"/>
      <c r="P9" s="5"/>
      <c r="Q9" s="5"/>
      <c r="R9" s="1"/>
    </row>
    <row r="10" spans="1:19" ht="33.75" customHeight="1" x14ac:dyDescent="0.25">
      <c r="B10" s="1" t="s">
        <v>18</v>
      </c>
      <c r="C10" s="5"/>
      <c r="D10" s="5">
        <v>1</v>
      </c>
      <c r="E10" s="5"/>
      <c r="F10" s="5"/>
      <c r="G10" s="5">
        <v>3</v>
      </c>
      <c r="H10" s="5"/>
      <c r="I10" s="5"/>
      <c r="J10" s="5"/>
      <c r="K10" s="5"/>
      <c r="L10" s="5"/>
      <c r="M10" s="5"/>
      <c r="N10" s="5"/>
      <c r="O10" s="5"/>
      <c r="P10" s="5">
        <v>4</v>
      </c>
      <c r="Q10" s="5"/>
      <c r="R10" s="1"/>
    </row>
    <row r="11" spans="1:19" ht="33" customHeight="1" x14ac:dyDescent="0.25">
      <c r="B11" s="1" t="s">
        <v>19</v>
      </c>
      <c r="C11" s="5">
        <v>2</v>
      </c>
      <c r="D11" s="5">
        <v>3</v>
      </c>
      <c r="E11" s="5">
        <v>2</v>
      </c>
      <c r="F11" s="5">
        <v>1</v>
      </c>
      <c r="G11" s="5">
        <v>1</v>
      </c>
      <c r="H11" s="5"/>
      <c r="I11" s="5"/>
      <c r="J11" s="5">
        <v>2</v>
      </c>
      <c r="K11" s="5"/>
      <c r="L11" s="5">
        <v>2</v>
      </c>
      <c r="M11" s="5"/>
      <c r="N11" s="5"/>
      <c r="O11" s="5"/>
      <c r="P11" s="5">
        <v>5</v>
      </c>
      <c r="Q11" s="5"/>
      <c r="R11" s="1"/>
    </row>
    <row r="12" spans="1:19" x14ac:dyDescent="0.25">
      <c r="C12" s="5">
        <f>SUBTOTAL(109,Table1[Steals])</f>
        <v>13</v>
      </c>
      <c r="D12" s="5">
        <f>SUBTOTAL(109,Table1[Turnovers])</f>
        <v>15</v>
      </c>
      <c r="E12" s="5"/>
      <c r="F12" s="5">
        <f>SUBTOTAL(109,Table1[Rebound (Offensive)])</f>
        <v>11</v>
      </c>
      <c r="G12" s="5">
        <f>SUBTOTAL(109,Table1[Rebound (Defensive)])</f>
        <v>16</v>
      </c>
      <c r="H12" s="5"/>
      <c r="I12" s="5"/>
      <c r="J12" s="5"/>
      <c r="K12" s="5"/>
      <c r="L12" s="5"/>
      <c r="M12" s="5"/>
      <c r="N12" s="5"/>
      <c r="O12" s="5"/>
      <c r="P12" s="5">
        <f>SUBTOTAL(109,Table1[[Points ]])</f>
        <v>33</v>
      </c>
      <c r="Q12" s="5"/>
      <c r="R12" s="1"/>
    </row>
    <row r="13" spans="1:19" ht="20" thickBot="1" x14ac:dyDescent="0.3"/>
    <row r="14" spans="1:19" ht="21" thickBot="1" x14ac:dyDescent="0.3">
      <c r="A14" s="4"/>
      <c r="B14" s="4" t="s">
        <v>41</v>
      </c>
      <c r="C14" s="7"/>
      <c r="D14" s="7"/>
      <c r="E14" s="7"/>
      <c r="F14" s="8">
        <v>4</v>
      </c>
      <c r="G14" s="8">
        <v>6</v>
      </c>
      <c r="H14" s="7"/>
      <c r="I14" s="7"/>
      <c r="J14" s="7"/>
      <c r="K14" s="7"/>
      <c r="L14" s="7"/>
      <c r="M14" s="7"/>
      <c r="N14" s="7"/>
      <c r="O14" s="7"/>
      <c r="P14" s="7"/>
      <c r="S14" s="9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3D2D-9808-4BF3-B4CB-F51D2FD3F78D}">
  <dimension ref="A1:AA43"/>
  <sheetViews>
    <sheetView zoomScale="97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AA2" sqref="AA2:AA11"/>
    </sheetView>
  </sheetViews>
  <sheetFormatPr baseColWidth="10" defaultColWidth="14.33203125" defaultRowHeight="19" x14ac:dyDescent="0.2"/>
  <cols>
    <col min="1" max="1" width="8.33203125" style="11" customWidth="1"/>
    <col min="2" max="2" width="17.83203125" style="11" customWidth="1"/>
    <col min="3" max="12" width="14.33203125" style="11"/>
    <col min="14" max="16" width="14.33203125" style="11"/>
    <col min="19" max="19" width="14.33203125" style="11"/>
    <col min="20" max="21" width="14.33203125" style="16"/>
    <col min="22" max="16384" width="14.33203125" style="11"/>
  </cols>
  <sheetData>
    <row r="1" spans="1:27" s="20" customFormat="1" ht="61" customHeight="1" x14ac:dyDescent="0.2">
      <c r="A1" s="20" t="s">
        <v>26</v>
      </c>
      <c r="B1" s="20" t="s">
        <v>0</v>
      </c>
      <c r="C1" s="20" t="s">
        <v>27</v>
      </c>
      <c r="D1" s="20" t="s">
        <v>28</v>
      </c>
      <c r="E1" s="20" t="s">
        <v>29</v>
      </c>
      <c r="F1" s="35" t="s">
        <v>30</v>
      </c>
      <c r="G1" s="36" t="s">
        <v>31</v>
      </c>
      <c r="H1" s="35" t="s">
        <v>32</v>
      </c>
      <c r="I1" s="36" t="s">
        <v>33</v>
      </c>
      <c r="J1" s="35" t="s">
        <v>36</v>
      </c>
      <c r="K1" s="37" t="s">
        <v>34</v>
      </c>
      <c r="L1" s="36" t="s">
        <v>35</v>
      </c>
      <c r="M1" s="35" t="s">
        <v>39</v>
      </c>
      <c r="N1" s="37" t="s">
        <v>37</v>
      </c>
      <c r="O1" s="36" t="s">
        <v>38</v>
      </c>
      <c r="P1" s="20" t="s">
        <v>7</v>
      </c>
      <c r="Q1" s="20" t="s">
        <v>42</v>
      </c>
      <c r="R1" s="35" t="s">
        <v>72</v>
      </c>
      <c r="S1" s="37" t="s">
        <v>73</v>
      </c>
      <c r="T1" s="36" t="s">
        <v>71</v>
      </c>
      <c r="U1" s="20" t="s">
        <v>40</v>
      </c>
      <c r="V1" s="35" t="s">
        <v>81</v>
      </c>
      <c r="W1" s="37" t="s">
        <v>82</v>
      </c>
      <c r="X1" s="36" t="s">
        <v>83</v>
      </c>
      <c r="Y1" s="20" t="s">
        <v>128</v>
      </c>
      <c r="Z1" s="20" t="s">
        <v>129</v>
      </c>
      <c r="AA1" s="20" t="s">
        <v>130</v>
      </c>
    </row>
    <row r="2" spans="1:27" ht="34.5" customHeight="1" x14ac:dyDescent="0.2">
      <c r="A2" s="5" t="s">
        <v>43</v>
      </c>
      <c r="B2" s="11" t="s">
        <v>44</v>
      </c>
      <c r="C2" s="5">
        <v>4</v>
      </c>
      <c r="D2" s="5">
        <v>4</v>
      </c>
      <c r="E2" s="5">
        <v>1</v>
      </c>
      <c r="F2" s="23">
        <v>2</v>
      </c>
      <c r="G2" s="24">
        <v>5</v>
      </c>
      <c r="H2" s="23">
        <v>0</v>
      </c>
      <c r="I2" s="24">
        <v>0</v>
      </c>
      <c r="J2" s="23">
        <v>4</v>
      </c>
      <c r="K2" s="5">
        <v>5</v>
      </c>
      <c r="L2" s="24">
        <v>2</v>
      </c>
      <c r="M2" s="23">
        <v>2</v>
      </c>
      <c r="N2" s="5">
        <v>2</v>
      </c>
      <c r="O2" s="24">
        <v>1</v>
      </c>
      <c r="P2" s="5">
        <f>(Table156[[#This Row],[Field Goal (M)]]*2)+(Table156[[#This Row],[Three Pointer (M)]]*3)+Table156[[#This Row],[Foul Shot (M)]]</f>
        <v>9</v>
      </c>
      <c r="Q2" s="5">
        <v>4</v>
      </c>
      <c r="R2" s="39">
        <f>IFERROR(Table156[[#This Row],[Foul Shot (M)]]/Table156[[#This Row],[Foul Shot (A)]],0)</f>
        <v>0.5</v>
      </c>
      <c r="S2" s="40">
        <f>IFERROR(Table156[[#This Row],[Field Goal (M)]]/Table156[[#This Row],[Field Goal (A)]],0)</f>
        <v>0.4</v>
      </c>
      <c r="T2" s="31">
        <f>IFERROR(Table156[[#This Row],[Three Pointer (M)]]/Table156[[#This Row],[Three Pointer (A)]],0)</f>
        <v>0.5</v>
      </c>
      <c r="U2" s="5"/>
      <c r="V2" s="41">
        <f>Table156[[#This Row],[Foul Shot (A)]]+Table156[[#This Row],[Foul Shot (M)]]</f>
        <v>6</v>
      </c>
      <c r="W2" s="41">
        <f>Table156[[#This Row],[Field Goal (A)]]+Table156[[#This Row],[Field Goal (M)]]</f>
        <v>7</v>
      </c>
      <c r="X2" s="41">
        <f>SUM(Table156[[#This Row],[Three Pointer (A)]]+Table156[[#This Row],[Three Pointer (M)]])</f>
        <v>3</v>
      </c>
      <c r="Y2" s="63">
        <f t="shared" ref="Y2:Y11" si="0" xml:space="preserve"> (0.5*P2)
  + (2*E2)
  + (3*F2)
  + (1*H2)
  + (2*J2)
  - (1*D2)
  + IF(S2&gt;0.4, (S2-0.4)*10, 0)
  + IF(T2&gt;0.3, (T2-0.3)*10, 0)
  + IF(R2&gt;0.7, (R2-0.7)*5, 0)</f>
        <v>18.5</v>
      </c>
      <c r="Z2" s="63">
        <f t="shared" ref="Z2:Z11" si="1" xml:space="preserve"> (3*C2)
  + (2*G2)
  + (2*I2)</f>
        <v>22</v>
      </c>
      <c r="AA2" s="63">
        <f t="shared" ref="AA2:AA11" si="2" xml:space="preserve"> Y2
  + Z2
  - IF(Q2&lt;4, 0, IF(Q2=4, 1, 3))</f>
        <v>39.5</v>
      </c>
    </row>
    <row r="3" spans="1:27" ht="35.25" customHeight="1" x14ac:dyDescent="0.2">
      <c r="A3" s="5" t="s">
        <v>48</v>
      </c>
      <c r="B3" s="11" t="s">
        <v>49</v>
      </c>
      <c r="C3" s="5">
        <v>0</v>
      </c>
      <c r="D3" s="5">
        <v>2</v>
      </c>
      <c r="E3" s="5">
        <v>0</v>
      </c>
      <c r="F3" s="23">
        <v>2</v>
      </c>
      <c r="G3" s="24">
        <v>0</v>
      </c>
      <c r="H3" s="23">
        <v>0</v>
      </c>
      <c r="I3" s="24">
        <v>0</v>
      </c>
      <c r="J3" s="23">
        <v>0</v>
      </c>
      <c r="K3" s="5">
        <v>0</v>
      </c>
      <c r="L3" s="24">
        <v>0</v>
      </c>
      <c r="M3" s="38" t="s">
        <v>50</v>
      </c>
      <c r="N3" s="5">
        <v>0</v>
      </c>
      <c r="O3" s="24">
        <v>0</v>
      </c>
      <c r="P3" s="5">
        <f>(Table156[[#This Row],[Field Goal (M)]]*2)+(Table156[[#This Row],[Three Pointer (M)]]*3)+Table156[[#This Row],[Foul Shot (M)]]</f>
        <v>0</v>
      </c>
      <c r="Q3" s="5">
        <v>3</v>
      </c>
      <c r="R3" s="39">
        <f>IFERROR(Table156[[#This Row],[Foul Shot (M)]]/Table156[[#This Row],[Foul Shot (A)]],0)</f>
        <v>0</v>
      </c>
      <c r="S3" s="40">
        <f>IFERROR(Table156[[#This Row],[Field Goal (M)]]/Table156[[#This Row],[Field Goal (A)]],0)</f>
        <v>0</v>
      </c>
      <c r="T3" s="31">
        <f>IFERROR(Table156[[#This Row],[Three Pointer (M)]]/Table156[[#This Row],[Three Pointer (A)]],0)</f>
        <v>0</v>
      </c>
      <c r="U3" s="5"/>
      <c r="V3" s="41">
        <f>Table156[[#This Row],[Foul Shot (A)]]+Table156[[#This Row],[Foul Shot (M)]]</f>
        <v>0</v>
      </c>
      <c r="W3" s="41">
        <f>Table156[[#This Row],[Field Goal (A)]]+Table156[[#This Row],[Field Goal (M)]]</f>
        <v>0</v>
      </c>
      <c r="X3" s="41">
        <f>SUM(Table156[[#This Row],[Three Pointer (A)]]+Table156[[#This Row],[Three Pointer (M)]])</f>
        <v>0</v>
      </c>
      <c r="Y3" s="63">
        <f t="shared" si="0"/>
        <v>4</v>
      </c>
      <c r="Z3" s="63">
        <f t="shared" si="1"/>
        <v>0</v>
      </c>
      <c r="AA3" s="63">
        <f t="shared" si="2"/>
        <v>4</v>
      </c>
    </row>
    <row r="4" spans="1:27" ht="34.5" customHeight="1" x14ac:dyDescent="0.2">
      <c r="A4" s="5" t="s">
        <v>52</v>
      </c>
      <c r="B4" s="11" t="s">
        <v>53</v>
      </c>
      <c r="C4" s="5">
        <v>1</v>
      </c>
      <c r="D4" s="5">
        <v>4</v>
      </c>
      <c r="E4" s="5">
        <v>2</v>
      </c>
      <c r="F4" s="23">
        <v>2</v>
      </c>
      <c r="G4" s="24">
        <v>3</v>
      </c>
      <c r="H4" s="23">
        <v>0</v>
      </c>
      <c r="I4" s="24">
        <v>0</v>
      </c>
      <c r="J4" s="23">
        <v>0</v>
      </c>
      <c r="K4" s="5">
        <v>1</v>
      </c>
      <c r="L4" s="24">
        <v>0</v>
      </c>
      <c r="M4" s="23" t="s">
        <v>50</v>
      </c>
      <c r="N4" s="5">
        <v>1</v>
      </c>
      <c r="O4" s="24">
        <v>0</v>
      </c>
      <c r="P4" s="5">
        <f>(Table156[[#This Row],[Field Goal (M)]]*2)+(Table156[[#This Row],[Three Pointer (M)]]*3)+Table156[[#This Row],[Foul Shot (M)]]</f>
        <v>2</v>
      </c>
      <c r="Q4" s="5">
        <v>1</v>
      </c>
      <c r="R4" s="39">
        <f>IFERROR(Table156[[#This Row],[Foul Shot (M)]]/Table156[[#This Row],[Foul Shot (A)]],0)</f>
        <v>0</v>
      </c>
      <c r="S4" s="40">
        <f>IFERROR(Table156[[#This Row],[Field Goal (M)]]/Table156[[#This Row],[Field Goal (A)]],0)</f>
        <v>1</v>
      </c>
      <c r="T4" s="31">
        <f>IFERROR(Table156[[#This Row],[Three Pointer (M)]]/Table156[[#This Row],[Three Pointer (A)]],0)</f>
        <v>0</v>
      </c>
      <c r="U4" s="5"/>
      <c r="V4" s="41">
        <f>Table156[[#This Row],[Foul Shot (A)]]+Table156[[#This Row],[Foul Shot (M)]]</f>
        <v>0</v>
      </c>
      <c r="W4" s="41">
        <f>Table156[[#This Row],[Field Goal (A)]]+Table156[[#This Row],[Field Goal (M)]]</f>
        <v>2</v>
      </c>
      <c r="X4" s="41">
        <f>SUM(Table156[[#This Row],[Three Pointer (A)]]+Table156[[#This Row],[Three Pointer (M)]])</f>
        <v>0</v>
      </c>
      <c r="Y4" s="63">
        <f t="shared" si="0"/>
        <v>13</v>
      </c>
      <c r="Z4" s="63">
        <f t="shared" si="1"/>
        <v>9</v>
      </c>
      <c r="AA4" s="63">
        <f t="shared" si="2"/>
        <v>22</v>
      </c>
    </row>
    <row r="5" spans="1:27" ht="34.5" customHeight="1" x14ac:dyDescent="0.2">
      <c r="A5" s="5" t="s">
        <v>54</v>
      </c>
      <c r="B5" s="11" t="s">
        <v>55</v>
      </c>
      <c r="C5" s="5">
        <v>0</v>
      </c>
      <c r="D5" s="5">
        <v>2</v>
      </c>
      <c r="E5" s="5">
        <v>0</v>
      </c>
      <c r="F5" s="23">
        <v>0</v>
      </c>
      <c r="G5" s="24">
        <v>1</v>
      </c>
      <c r="H5" s="23">
        <v>0</v>
      </c>
      <c r="I5" s="24">
        <v>0</v>
      </c>
      <c r="J5" s="23">
        <v>0</v>
      </c>
      <c r="K5" s="5">
        <v>3</v>
      </c>
      <c r="L5" s="24">
        <v>0</v>
      </c>
      <c r="M5" s="23" t="s">
        <v>50</v>
      </c>
      <c r="N5" s="5">
        <v>1</v>
      </c>
      <c r="O5" s="24">
        <v>0</v>
      </c>
      <c r="P5" s="5">
        <f>(Table156[[#This Row],[Field Goal (M)]]*2)+(Table156[[#This Row],[Three Pointer (M)]]*3)+Table156[[#This Row],[Foul Shot (M)]]</f>
        <v>2</v>
      </c>
      <c r="Q5" s="5">
        <v>1</v>
      </c>
      <c r="R5" s="39">
        <f>IFERROR(Table156[[#This Row],[Foul Shot (M)]]/Table156[[#This Row],[Foul Shot (A)]],0)</f>
        <v>0</v>
      </c>
      <c r="S5" s="40">
        <f>IFERROR(Table156[[#This Row],[Field Goal (M)]]/Table156[[#This Row],[Field Goal (A)]],0)</f>
        <v>0.33333333333333331</v>
      </c>
      <c r="T5" s="31">
        <f>IFERROR(Table156[[#This Row],[Three Pointer (M)]]/Table156[[#This Row],[Three Pointer (A)]],0)</f>
        <v>0</v>
      </c>
      <c r="U5" s="5"/>
      <c r="V5" s="41">
        <f>Table156[[#This Row],[Foul Shot (A)]]+Table156[[#This Row],[Foul Shot (M)]]</f>
        <v>0</v>
      </c>
      <c r="W5" s="41">
        <f>Table156[[#This Row],[Field Goal (A)]]+Table156[[#This Row],[Field Goal (M)]]</f>
        <v>4</v>
      </c>
      <c r="X5" s="41">
        <f>SUM(Table156[[#This Row],[Three Pointer (A)]]+Table156[[#This Row],[Three Pointer (M)]])</f>
        <v>0</v>
      </c>
      <c r="Y5" s="63">
        <f t="shared" si="0"/>
        <v>-1</v>
      </c>
      <c r="Z5" s="63">
        <f t="shared" si="1"/>
        <v>2</v>
      </c>
      <c r="AA5" s="63">
        <f t="shared" si="2"/>
        <v>1</v>
      </c>
    </row>
    <row r="6" spans="1:27" ht="37.5" customHeight="1" x14ac:dyDescent="0.2">
      <c r="A6" s="5" t="s">
        <v>56</v>
      </c>
      <c r="B6" s="11" t="s">
        <v>57</v>
      </c>
      <c r="C6" s="5">
        <v>1</v>
      </c>
      <c r="D6" s="5">
        <v>1</v>
      </c>
      <c r="E6" s="5">
        <v>0</v>
      </c>
      <c r="F6" s="23">
        <v>3</v>
      </c>
      <c r="G6" s="24">
        <v>0</v>
      </c>
      <c r="H6" s="23">
        <v>0</v>
      </c>
      <c r="I6" s="24">
        <v>0</v>
      </c>
      <c r="J6" s="23">
        <v>0</v>
      </c>
      <c r="K6" s="5">
        <v>3</v>
      </c>
      <c r="L6" s="24">
        <v>0</v>
      </c>
      <c r="M6" s="23" t="s">
        <v>50</v>
      </c>
      <c r="N6" s="5">
        <v>3</v>
      </c>
      <c r="O6" s="24">
        <v>0</v>
      </c>
      <c r="P6" s="5">
        <f>(Table156[[#This Row],[Field Goal (M)]]*2)+(Table156[[#This Row],[Three Pointer (M)]]*3)+Table156[[#This Row],[Foul Shot (M)]]</f>
        <v>6</v>
      </c>
      <c r="Q6" s="5">
        <v>1</v>
      </c>
      <c r="R6" s="39">
        <f>IFERROR(Table156[[#This Row],[Foul Shot (M)]]/Table156[[#This Row],[Foul Shot (A)]],0)</f>
        <v>0</v>
      </c>
      <c r="S6" s="40">
        <f>IFERROR(Table156[[#This Row],[Field Goal (M)]]/Table156[[#This Row],[Field Goal (A)]],0)</f>
        <v>1</v>
      </c>
      <c r="T6" s="31">
        <f>IFERROR(Table156[[#This Row],[Three Pointer (M)]]/Table156[[#This Row],[Three Pointer (A)]],0)</f>
        <v>0</v>
      </c>
      <c r="U6" s="5"/>
      <c r="V6" s="41">
        <f>Table156[[#This Row],[Foul Shot (A)]]+Table156[[#This Row],[Foul Shot (M)]]</f>
        <v>0</v>
      </c>
      <c r="W6" s="41">
        <f>Table156[[#This Row],[Field Goal (A)]]+Table156[[#This Row],[Field Goal (M)]]</f>
        <v>6</v>
      </c>
      <c r="X6" s="41">
        <f>SUM(Table156[[#This Row],[Three Pointer (A)]]+Table156[[#This Row],[Three Pointer (M)]])</f>
        <v>0</v>
      </c>
      <c r="Y6" s="63">
        <f t="shared" si="0"/>
        <v>17</v>
      </c>
      <c r="Z6" s="63">
        <f t="shared" si="1"/>
        <v>3</v>
      </c>
      <c r="AA6" s="63">
        <f t="shared" si="2"/>
        <v>20</v>
      </c>
    </row>
    <row r="7" spans="1:27" ht="31.5" customHeight="1" x14ac:dyDescent="0.2">
      <c r="A7" s="5" t="s">
        <v>58</v>
      </c>
      <c r="B7" s="11" t="s">
        <v>59</v>
      </c>
      <c r="C7" s="5">
        <v>1</v>
      </c>
      <c r="D7" s="5">
        <v>3</v>
      </c>
      <c r="E7" s="5">
        <v>0</v>
      </c>
      <c r="F7" s="23">
        <v>3</v>
      </c>
      <c r="G7" s="24">
        <v>3</v>
      </c>
      <c r="H7" s="23">
        <v>0</v>
      </c>
      <c r="I7" s="24">
        <v>0</v>
      </c>
      <c r="J7" s="23">
        <v>4</v>
      </c>
      <c r="K7" s="5">
        <v>6</v>
      </c>
      <c r="L7" s="24">
        <v>0</v>
      </c>
      <c r="M7" s="23">
        <v>2</v>
      </c>
      <c r="N7" s="5">
        <v>0</v>
      </c>
      <c r="O7" s="24">
        <v>0</v>
      </c>
      <c r="P7" s="5">
        <f>(Table156[[#This Row],[Field Goal (M)]]*2)+(Table156[[#This Row],[Three Pointer (M)]]*3)+Table156[[#This Row],[Foul Shot (M)]]</f>
        <v>2</v>
      </c>
      <c r="Q7" s="5">
        <v>2</v>
      </c>
      <c r="R7" s="39">
        <f>IFERROR(Table156[[#This Row],[Foul Shot (M)]]/Table156[[#This Row],[Foul Shot (A)]],0)</f>
        <v>0.5</v>
      </c>
      <c r="S7" s="40">
        <f>IFERROR(Table156[[#This Row],[Field Goal (M)]]/Table156[[#This Row],[Field Goal (A)]],0)</f>
        <v>0</v>
      </c>
      <c r="T7" s="31">
        <f>IFERROR(Table156[[#This Row],[Three Pointer (M)]]/Table156[[#This Row],[Three Pointer (A)]],0)</f>
        <v>0</v>
      </c>
      <c r="U7" s="5"/>
      <c r="V7" s="41">
        <f>Table156[[#This Row],[Foul Shot (A)]]+Table156[[#This Row],[Foul Shot (M)]]</f>
        <v>6</v>
      </c>
      <c r="W7" s="41">
        <f>Table156[[#This Row],[Field Goal (A)]]+Table156[[#This Row],[Field Goal (M)]]</f>
        <v>6</v>
      </c>
      <c r="X7" s="41">
        <f>SUM(Table156[[#This Row],[Three Pointer (A)]]+Table156[[#This Row],[Three Pointer (M)]])</f>
        <v>0</v>
      </c>
      <c r="Y7" s="63">
        <f t="shared" si="0"/>
        <v>15</v>
      </c>
      <c r="Z7" s="63">
        <f t="shared" si="1"/>
        <v>9</v>
      </c>
      <c r="AA7" s="63">
        <f t="shared" si="2"/>
        <v>24</v>
      </c>
    </row>
    <row r="8" spans="1:27" ht="35.25" customHeight="1" x14ac:dyDescent="0.2">
      <c r="A8" s="5" t="s">
        <v>60</v>
      </c>
      <c r="B8" s="11" t="s">
        <v>61</v>
      </c>
      <c r="C8" s="5">
        <v>3</v>
      </c>
      <c r="D8" s="5">
        <v>1</v>
      </c>
      <c r="E8" s="5">
        <v>1</v>
      </c>
      <c r="F8" s="23">
        <v>0</v>
      </c>
      <c r="G8" s="24">
        <v>0</v>
      </c>
      <c r="H8" s="23">
        <v>0</v>
      </c>
      <c r="I8" s="24">
        <v>0</v>
      </c>
      <c r="J8" s="23">
        <v>7</v>
      </c>
      <c r="K8" s="5">
        <v>12</v>
      </c>
      <c r="L8" s="24">
        <v>0</v>
      </c>
      <c r="M8" s="23">
        <v>3</v>
      </c>
      <c r="N8" s="5">
        <v>3</v>
      </c>
      <c r="O8" s="24">
        <v>0</v>
      </c>
      <c r="P8" s="5">
        <f>(Table156[[#This Row],[Field Goal (M)]]*2)+(Table156[[#This Row],[Three Pointer (M)]]*3)+Table156[[#This Row],[Foul Shot (M)]]</f>
        <v>9</v>
      </c>
      <c r="Q8" s="5">
        <v>5</v>
      </c>
      <c r="R8" s="39">
        <f>IFERROR(Table156[[#This Row],[Foul Shot (M)]]/Table156[[#This Row],[Foul Shot (A)]],0)</f>
        <v>0.42857142857142855</v>
      </c>
      <c r="S8" s="40">
        <f>IFERROR(Table156[[#This Row],[Field Goal (M)]]/Table156[[#This Row],[Field Goal (A)]],0)</f>
        <v>0.25</v>
      </c>
      <c r="T8" s="31">
        <f>IFERROR(Table156[[#This Row],[Three Pointer (M)]]/Table156[[#This Row],[Three Pointer (A)]],0)</f>
        <v>0</v>
      </c>
      <c r="U8" s="5"/>
      <c r="V8" s="41">
        <f>Table156[[#This Row],[Foul Shot (A)]]+Table156[[#This Row],[Foul Shot (M)]]</f>
        <v>10</v>
      </c>
      <c r="W8" s="41">
        <f>Table156[[#This Row],[Field Goal (A)]]+Table156[[#This Row],[Field Goal (M)]]</f>
        <v>15</v>
      </c>
      <c r="X8" s="41">
        <f>SUM(Table156[[#This Row],[Three Pointer (A)]]+Table156[[#This Row],[Three Pointer (M)]])</f>
        <v>0</v>
      </c>
      <c r="Y8" s="63">
        <f t="shared" si="0"/>
        <v>19.5</v>
      </c>
      <c r="Z8" s="63">
        <f t="shared" si="1"/>
        <v>9</v>
      </c>
      <c r="AA8" s="63">
        <f t="shared" si="2"/>
        <v>25.5</v>
      </c>
    </row>
    <row r="9" spans="1:27" ht="30.75" customHeight="1" x14ac:dyDescent="0.2">
      <c r="A9" s="5" t="s">
        <v>63</v>
      </c>
      <c r="B9" s="11" t="s">
        <v>64</v>
      </c>
      <c r="C9" s="5">
        <v>0</v>
      </c>
      <c r="D9" s="5">
        <v>1</v>
      </c>
      <c r="E9" s="5">
        <v>0</v>
      </c>
      <c r="F9" s="23">
        <v>0</v>
      </c>
      <c r="G9" s="24">
        <v>2</v>
      </c>
      <c r="H9" s="23">
        <v>0</v>
      </c>
      <c r="I9" s="24">
        <v>0</v>
      </c>
      <c r="J9" s="23">
        <v>4</v>
      </c>
      <c r="K9" s="5">
        <v>1</v>
      </c>
      <c r="L9" s="24">
        <v>0</v>
      </c>
      <c r="M9" s="23">
        <v>2</v>
      </c>
      <c r="N9" s="5">
        <v>0</v>
      </c>
      <c r="O9" s="24">
        <v>0</v>
      </c>
      <c r="P9" s="5">
        <f>(Table156[[#This Row],[Field Goal (M)]]*2)+(Table156[[#This Row],[Three Pointer (M)]]*3)+Table156[[#This Row],[Foul Shot (M)]]</f>
        <v>2</v>
      </c>
      <c r="Q9" s="5">
        <v>1</v>
      </c>
      <c r="R9" s="39">
        <f>IFERROR(Table156[[#This Row],[Foul Shot (M)]]/Table156[[#This Row],[Foul Shot (A)]],0)</f>
        <v>0.5</v>
      </c>
      <c r="S9" s="40">
        <f>IFERROR(Table156[[#This Row],[Field Goal (M)]]/Table156[[#This Row],[Field Goal (A)]],0)</f>
        <v>0</v>
      </c>
      <c r="T9" s="31">
        <f>IFERROR(Table156[[#This Row],[Three Pointer (M)]]/Table156[[#This Row],[Three Pointer (A)]],0)</f>
        <v>0</v>
      </c>
      <c r="U9" s="5"/>
      <c r="V9" s="41">
        <f>Table156[[#This Row],[Foul Shot (A)]]+Table156[[#This Row],[Foul Shot (M)]]</f>
        <v>6</v>
      </c>
      <c r="W9" s="41">
        <f>Table156[[#This Row],[Field Goal (A)]]+Table156[[#This Row],[Field Goal (M)]]</f>
        <v>1</v>
      </c>
      <c r="X9" s="41">
        <f>SUM(Table156[[#This Row],[Three Pointer (A)]]+Table156[[#This Row],[Three Pointer (M)]])</f>
        <v>0</v>
      </c>
      <c r="Y9" s="63">
        <f t="shared" si="0"/>
        <v>8</v>
      </c>
      <c r="Z9" s="63">
        <f t="shared" si="1"/>
        <v>4</v>
      </c>
      <c r="AA9" s="63">
        <f t="shared" si="2"/>
        <v>12</v>
      </c>
    </row>
    <row r="10" spans="1:27" ht="33.75" customHeight="1" x14ac:dyDescent="0.2">
      <c r="A10" s="5">
        <v>65</v>
      </c>
      <c r="B10" s="11" t="s">
        <v>65</v>
      </c>
      <c r="C10" s="5">
        <v>0</v>
      </c>
      <c r="D10" s="5">
        <v>0</v>
      </c>
      <c r="E10" s="5">
        <v>0</v>
      </c>
      <c r="F10" s="23">
        <v>0</v>
      </c>
      <c r="G10" s="24">
        <v>0</v>
      </c>
      <c r="H10" s="23">
        <v>0</v>
      </c>
      <c r="I10" s="24">
        <v>0</v>
      </c>
      <c r="J10" s="23">
        <v>0</v>
      </c>
      <c r="K10" s="5">
        <v>0</v>
      </c>
      <c r="L10" s="24">
        <v>0</v>
      </c>
      <c r="M10" s="23">
        <v>0</v>
      </c>
      <c r="N10" s="5">
        <v>0</v>
      </c>
      <c r="O10" s="24">
        <v>0</v>
      </c>
      <c r="P10" s="5">
        <f>(Table156[[#This Row],[Field Goal (M)]]*2)+(Table156[[#This Row],[Three Pointer (M)]]*3)+Table156[[#This Row],[Foul Shot (M)]]</f>
        <v>0</v>
      </c>
      <c r="Q10" s="5"/>
      <c r="R10" s="39">
        <f>IFERROR(Table156[[#This Row],[Foul Shot (M)]]/Table156[[#This Row],[Foul Shot (A)]],0)</f>
        <v>0</v>
      </c>
      <c r="S10" s="40">
        <f>IFERROR(Table156[[#This Row],[Field Goal (M)]]/Table156[[#This Row],[Field Goal (A)]],0)</f>
        <v>0</v>
      </c>
      <c r="T10" s="31">
        <f>IFERROR(Table156[[#This Row],[Three Pointer (M)]]/Table156[[#This Row],[Three Pointer (A)]],0)</f>
        <v>0</v>
      </c>
      <c r="U10" s="5" t="s">
        <v>66</v>
      </c>
      <c r="V10" s="41">
        <f>Table156[[#This Row],[Foul Shot (A)]]+Table156[[#This Row],[Foul Shot (M)]]</f>
        <v>0</v>
      </c>
      <c r="W10" s="41">
        <f>Table156[[#This Row],[Field Goal (A)]]+Table156[[#This Row],[Field Goal (M)]]</f>
        <v>0</v>
      </c>
      <c r="X10" s="41">
        <f>SUM(Table156[[#This Row],[Three Pointer (A)]]+Table156[[#This Row],[Three Pointer (M)]])</f>
        <v>0</v>
      </c>
      <c r="Y10" s="63">
        <f t="shared" si="0"/>
        <v>0</v>
      </c>
      <c r="Z10" s="63">
        <f t="shared" si="1"/>
        <v>0</v>
      </c>
      <c r="AA10" s="63">
        <f t="shared" si="2"/>
        <v>0</v>
      </c>
    </row>
    <row r="11" spans="1:27" ht="33" customHeight="1" x14ac:dyDescent="0.2">
      <c r="A11" s="5" t="s">
        <v>67</v>
      </c>
      <c r="B11" s="11" t="s">
        <v>68</v>
      </c>
      <c r="C11" s="5">
        <v>0</v>
      </c>
      <c r="D11" s="5">
        <v>1</v>
      </c>
      <c r="E11" s="5">
        <v>1</v>
      </c>
      <c r="F11" s="23">
        <v>0</v>
      </c>
      <c r="G11" s="24">
        <v>2</v>
      </c>
      <c r="H11" s="23">
        <v>0</v>
      </c>
      <c r="I11" s="24">
        <v>0</v>
      </c>
      <c r="J11" s="23">
        <v>0</v>
      </c>
      <c r="K11" s="5">
        <v>2</v>
      </c>
      <c r="L11" s="24">
        <v>2</v>
      </c>
      <c r="M11" s="23">
        <v>0</v>
      </c>
      <c r="N11" s="5">
        <v>1</v>
      </c>
      <c r="O11" s="24">
        <v>1</v>
      </c>
      <c r="P11" s="5">
        <f>(Table156[[#This Row],[Field Goal (M)]]*2)+(Table156[[#This Row],[Three Pointer (M)]]*3)+Table156[[#This Row],[Foul Shot (M)]]</f>
        <v>5</v>
      </c>
      <c r="Q11" s="5">
        <v>1</v>
      </c>
      <c r="R11" s="39">
        <f>IFERROR(Table156[[#This Row],[Foul Shot (M)]]/Table156[[#This Row],[Foul Shot (A)]],0)</f>
        <v>0</v>
      </c>
      <c r="S11" s="40">
        <f>IFERROR(Table156[[#This Row],[Field Goal (M)]]/Table156[[#This Row],[Field Goal (A)]],0)</f>
        <v>0.5</v>
      </c>
      <c r="T11" s="31">
        <f>IFERROR(Table156[[#This Row],[Three Pointer (M)]]/Table156[[#This Row],[Three Pointer (A)]],0)</f>
        <v>0.5</v>
      </c>
      <c r="U11" s="5"/>
      <c r="V11" s="41">
        <f>Table156[[#This Row],[Foul Shot (A)]]+Table156[[#This Row],[Foul Shot (M)]]</f>
        <v>0</v>
      </c>
      <c r="W11" s="41">
        <f>Table156[[#This Row],[Field Goal (A)]]+Table156[[#This Row],[Field Goal (M)]]</f>
        <v>3</v>
      </c>
      <c r="X11" s="41">
        <f>SUM(Table156[[#This Row],[Three Pointer (A)]]+Table156[[#This Row],[Three Pointer (M)]])</f>
        <v>3</v>
      </c>
      <c r="Y11" s="63">
        <f t="shared" si="0"/>
        <v>6.5</v>
      </c>
      <c r="Z11" s="63">
        <f t="shared" si="1"/>
        <v>4</v>
      </c>
      <c r="AA11" s="63">
        <f t="shared" si="2"/>
        <v>10.5</v>
      </c>
    </row>
    <row r="12" spans="1:27" x14ac:dyDescent="0.2">
      <c r="A12" s="11" t="s">
        <v>69</v>
      </c>
      <c r="C12" s="5">
        <f>SUM(Table156[Steals])</f>
        <v>10</v>
      </c>
      <c r="D12" s="5">
        <f>SUM(Table156[Turnovers])</f>
        <v>19</v>
      </c>
      <c r="E12" s="5">
        <f>SUM(Table156[Assists])</f>
        <v>5</v>
      </c>
      <c r="F12" s="25">
        <f>SUM(Table156[Rebound (Offensive)])</f>
        <v>12</v>
      </c>
      <c r="G12" s="26">
        <f>SUM(Table156[Rebound (Defensive)])</f>
        <v>16</v>
      </c>
      <c r="H12" s="25">
        <f>SUM(Table156[Charge (Offensive)])</f>
        <v>0</v>
      </c>
      <c r="I12" s="26">
        <f>SUM(Table156[Charge (Defensive)])</f>
        <v>0</v>
      </c>
      <c r="J12" s="25">
        <f>SUM(Table156[Foul Shot (A)])</f>
        <v>19</v>
      </c>
      <c r="K12" s="28">
        <f>SUM(Table156[Field Goal (A)])</f>
        <v>33</v>
      </c>
      <c r="L12" s="26">
        <f>SUM(Table156[Three Pointer (A)])</f>
        <v>4</v>
      </c>
      <c r="M12" s="25">
        <f>SUM(Table156[Foul Shot (M)])</f>
        <v>9</v>
      </c>
      <c r="N12" s="28">
        <f>SUM(Table156[Field Goal (M)])</f>
        <v>11</v>
      </c>
      <c r="O12" s="26">
        <f>SUM(Table156[Three Pointer (M)])</f>
        <v>2</v>
      </c>
      <c r="P12" s="5">
        <f>SUM(Table156[[Points ]])</f>
        <v>37</v>
      </c>
      <c r="Q12" s="5">
        <f>SUM(Table156[Fouls])</f>
        <v>19</v>
      </c>
      <c r="R12" s="32">
        <f>Table156[[#Totals],[Foul Shot (M)]]/Table156[[#Totals],[Foul Shot (A)]]</f>
        <v>0.47368421052631576</v>
      </c>
      <c r="S12" s="33">
        <f>Table156[[#Totals],[Field Goal (M)]]/Table156[[#Totals],[Field Goal (A)]]</f>
        <v>0.33333333333333331</v>
      </c>
      <c r="T12" s="34">
        <f>Table156[[#Totals],[Three Pointer (M)]]/Table156[[#Totals],[Three Pointer (A)]]</f>
        <v>0.5</v>
      </c>
      <c r="U12" s="5"/>
      <c r="V12" s="41"/>
      <c r="W12" s="41"/>
      <c r="X12" s="41"/>
      <c r="Y12" s="41"/>
      <c r="Z12" s="41"/>
      <c r="AA12" s="41"/>
    </row>
    <row r="13" spans="1:27" ht="20" thickBot="1" x14ac:dyDescent="0.25"/>
    <row r="14" spans="1:27" ht="20" thickBot="1" x14ac:dyDescent="0.25">
      <c r="A14" s="17" t="s">
        <v>70</v>
      </c>
      <c r="B14" s="12"/>
      <c r="C14" s="13"/>
      <c r="D14" s="13"/>
      <c r="E14" s="13"/>
      <c r="F14" s="14">
        <v>9</v>
      </c>
      <c r="G14" s="14">
        <v>5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5"/>
    </row>
    <row r="21" spans="13:14" x14ac:dyDescent="0.2">
      <c r="M21" t="s">
        <v>27</v>
      </c>
      <c r="N21" t="s">
        <v>110</v>
      </c>
    </row>
    <row r="22" spans="13:14" x14ac:dyDescent="0.2">
      <c r="M22" t="s">
        <v>28</v>
      </c>
      <c r="N22" t="s">
        <v>111</v>
      </c>
    </row>
    <row r="23" spans="13:14" x14ac:dyDescent="0.2">
      <c r="M23" t="s">
        <v>29</v>
      </c>
      <c r="N23" t="s">
        <v>112</v>
      </c>
    </row>
    <row r="24" spans="13:14" x14ac:dyDescent="0.2">
      <c r="M24" t="s">
        <v>30</v>
      </c>
      <c r="N24" t="s">
        <v>113</v>
      </c>
    </row>
    <row r="25" spans="13:14" x14ac:dyDescent="0.2">
      <c r="M25" t="s">
        <v>31</v>
      </c>
      <c r="N25" t="s">
        <v>114</v>
      </c>
    </row>
    <row r="26" spans="13:14" x14ac:dyDescent="0.2">
      <c r="M26" t="s">
        <v>32</v>
      </c>
      <c r="N26" t="s">
        <v>115</v>
      </c>
    </row>
    <row r="27" spans="13:14" x14ac:dyDescent="0.2">
      <c r="M27" t="s">
        <v>33</v>
      </c>
      <c r="N27" t="s">
        <v>116</v>
      </c>
    </row>
    <row r="28" spans="13:14" x14ac:dyDescent="0.2">
      <c r="M28" t="s">
        <v>36</v>
      </c>
      <c r="N28" t="s">
        <v>117</v>
      </c>
    </row>
    <row r="29" spans="13:14" x14ac:dyDescent="0.2">
      <c r="M29" t="s">
        <v>34</v>
      </c>
      <c r="N29" t="s">
        <v>118</v>
      </c>
    </row>
    <row r="30" spans="13:14" x14ac:dyDescent="0.2">
      <c r="M30" t="s">
        <v>35</v>
      </c>
      <c r="N30" t="s">
        <v>119</v>
      </c>
    </row>
    <row r="31" spans="13:14" x14ac:dyDescent="0.2">
      <c r="M31" t="s">
        <v>39</v>
      </c>
      <c r="N31" t="s">
        <v>120</v>
      </c>
    </row>
    <row r="32" spans="13:14" x14ac:dyDescent="0.2">
      <c r="M32" t="s">
        <v>37</v>
      </c>
      <c r="N32" t="s">
        <v>121</v>
      </c>
    </row>
    <row r="33" spans="13:14" x14ac:dyDescent="0.2">
      <c r="M33" t="s">
        <v>38</v>
      </c>
      <c r="N33" t="s">
        <v>122</v>
      </c>
    </row>
    <row r="34" spans="13:14" x14ac:dyDescent="0.2">
      <c r="M34" t="s">
        <v>7</v>
      </c>
      <c r="N34" t="s">
        <v>123</v>
      </c>
    </row>
    <row r="35" spans="13:14" x14ac:dyDescent="0.2">
      <c r="M35" t="s">
        <v>42</v>
      </c>
      <c r="N35" t="s">
        <v>124</v>
      </c>
    </row>
    <row r="36" spans="13:14" x14ac:dyDescent="0.2">
      <c r="M36" t="s">
        <v>72</v>
      </c>
      <c r="N36" t="s">
        <v>125</v>
      </c>
    </row>
    <row r="37" spans="13:14" x14ac:dyDescent="0.2">
      <c r="M37" t="s">
        <v>73</v>
      </c>
      <c r="N37" t="s">
        <v>126</v>
      </c>
    </row>
    <row r="38" spans="13:14" x14ac:dyDescent="0.2">
      <c r="M38" t="s">
        <v>71</v>
      </c>
      <c r="N38" t="s">
        <v>127</v>
      </c>
    </row>
    <row r="40" spans="13:14" x14ac:dyDescent="0.2">
      <c r="M40" t="s">
        <v>128</v>
      </c>
      <c r="N40" t="s">
        <v>131</v>
      </c>
    </row>
    <row r="41" spans="13:14" x14ac:dyDescent="0.2">
      <c r="M41" t="s">
        <v>129</v>
      </c>
      <c r="N41" t="s">
        <v>132</v>
      </c>
    </row>
    <row r="42" spans="13:14" x14ac:dyDescent="0.2">
      <c r="M42" t="s">
        <v>130</v>
      </c>
      <c r="N42" t="s">
        <v>133</v>
      </c>
    </row>
    <row r="43" spans="13:14" x14ac:dyDescent="0.2">
      <c r="N43"/>
    </row>
  </sheetData>
  <phoneticPr fontId="3" type="noConversion"/>
  <conditionalFormatting sqref="AA2:A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Q10 A2:A11 M3:M6" numberStoredAsText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3F86-F636-1F4A-B6D2-B04BFD5D7B37}">
  <dimension ref="A1:AA14"/>
  <sheetViews>
    <sheetView tabSelected="1" zoomScale="97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C4" sqref="AC4:AC6"/>
    </sheetView>
  </sheetViews>
  <sheetFormatPr baseColWidth="10" defaultColWidth="14.33203125" defaultRowHeight="19" x14ac:dyDescent="0.2"/>
  <cols>
    <col min="1" max="1" width="8.33203125" style="11" customWidth="1"/>
    <col min="2" max="2" width="18.5" style="11" customWidth="1"/>
    <col min="3" max="12" width="14.33203125" style="11"/>
    <col min="14" max="16" width="14.33203125" style="11"/>
    <col min="19" max="20" width="14.33203125" style="11"/>
    <col min="21" max="21" width="14.33203125" style="16"/>
    <col min="23" max="23" width="14.33203125" style="16"/>
    <col min="24" max="16384" width="14.33203125" style="11"/>
  </cols>
  <sheetData>
    <row r="1" spans="1:27" s="18" customFormat="1" ht="60" customHeight="1" x14ac:dyDescent="0.2">
      <c r="A1" s="18" t="s">
        <v>26</v>
      </c>
      <c r="B1" s="19" t="s">
        <v>0</v>
      </c>
      <c r="C1" s="18" t="s">
        <v>27</v>
      </c>
      <c r="D1" s="18" t="s">
        <v>28</v>
      </c>
      <c r="E1" s="18" t="s">
        <v>29</v>
      </c>
      <c r="F1" s="21" t="s">
        <v>30</v>
      </c>
      <c r="G1" s="22" t="s">
        <v>31</v>
      </c>
      <c r="H1" s="21" t="s">
        <v>32</v>
      </c>
      <c r="I1" s="22" t="s">
        <v>33</v>
      </c>
      <c r="J1" s="21" t="s">
        <v>36</v>
      </c>
      <c r="K1" s="27" t="s">
        <v>34</v>
      </c>
      <c r="L1" s="22" t="s">
        <v>35</v>
      </c>
      <c r="M1" s="21" t="s">
        <v>39</v>
      </c>
      <c r="N1" s="27" t="s">
        <v>37</v>
      </c>
      <c r="O1" s="22" t="s">
        <v>38</v>
      </c>
      <c r="P1" s="18" t="s">
        <v>7</v>
      </c>
      <c r="Q1" s="18" t="s">
        <v>42</v>
      </c>
      <c r="R1" s="21" t="s">
        <v>72</v>
      </c>
      <c r="S1" s="27" t="s">
        <v>73</v>
      </c>
      <c r="T1" s="22" t="s">
        <v>71</v>
      </c>
      <c r="U1" s="18" t="s">
        <v>40</v>
      </c>
      <c r="V1" s="21" t="s">
        <v>81</v>
      </c>
      <c r="W1" s="27" t="s">
        <v>82</v>
      </c>
      <c r="X1" s="22" t="s">
        <v>83</v>
      </c>
      <c r="Y1" s="18" t="s">
        <v>128</v>
      </c>
      <c r="Z1" s="18" t="s">
        <v>129</v>
      </c>
      <c r="AA1" s="18" t="s">
        <v>130</v>
      </c>
    </row>
    <row r="2" spans="1:27" ht="34.5" customHeight="1" x14ac:dyDescent="0.2">
      <c r="A2" s="5" t="s">
        <v>43</v>
      </c>
      <c r="B2" s="11" t="s">
        <v>44</v>
      </c>
      <c r="C2" s="5">
        <v>1</v>
      </c>
      <c r="D2" s="5">
        <v>0</v>
      </c>
      <c r="E2" s="5">
        <v>1</v>
      </c>
      <c r="F2" s="23">
        <v>0</v>
      </c>
      <c r="G2" s="24">
        <v>3</v>
      </c>
      <c r="H2" s="23">
        <v>0</v>
      </c>
      <c r="I2" s="24">
        <v>0</v>
      </c>
      <c r="J2" s="23">
        <v>0</v>
      </c>
      <c r="K2" s="5">
        <v>5</v>
      </c>
      <c r="L2" s="24">
        <v>0</v>
      </c>
      <c r="M2" s="23">
        <v>0</v>
      </c>
      <c r="N2" s="5">
        <v>3</v>
      </c>
      <c r="O2" s="24">
        <v>0</v>
      </c>
      <c r="P2" s="5">
        <f>(Table1567[[#This Row],[Field Goal (M)]]*2)+(Table1567[[#This Row],[Three Pointer (M)]]*3)+Table1567[[#This Row],[Foul Shot (M)]]</f>
        <v>6</v>
      </c>
      <c r="Q2" s="5">
        <v>4</v>
      </c>
      <c r="R2" s="29">
        <f>IFERROR(Table1567[[#This Row],[Foul Shot (M)]]/Table1567[[#This Row],[Foul Shot (A)]],0)</f>
        <v>0</v>
      </c>
      <c r="S2" s="30">
        <f>IFERROR(Table1567[[#This Row],[Field Goal (M)]]/Table1567[[#This Row],[Field Goal (A)]],0)</f>
        <v>0.6</v>
      </c>
      <c r="T2" s="31">
        <f>IFERROR(Table1567[[#This Row],[Three Pointer (M)]]/Table1567[[#This Row],[Three Pointer (A)]],0)</f>
        <v>0</v>
      </c>
      <c r="U2" s="5"/>
      <c r="V2" s="41">
        <f>SUM(Table1567[[#This Row],[Foul Shot (A)]]+Table1567[[#This Row],[Foul Shot (M)]])</f>
        <v>0</v>
      </c>
      <c r="W2" s="41">
        <f>SUM(Table1567[[#This Row],[Field Goal (A)]]+Table1567[[#This Row],[Field Goal (M)]])</f>
        <v>8</v>
      </c>
      <c r="X2" s="41">
        <f>SUM(Table1567[[#This Row],[Three Pointer (A)]]+Table1567[[#This Row],[Three Pointer (M)]])</f>
        <v>0</v>
      </c>
      <c r="Y2" s="63">
        <f xml:space="preserve"> (0.5*P2)
  + (2*E2)
  + (3*F2)
  + (1*H2)
  + (2*J2)
  - (1*D2)
  + IF(S2&gt;0.4, (S2-0.4)*10, 0)
  + IF(T2&gt;0.3, (T2-0.3)*10, 0)
  + IF(R2&gt;0.7, (R2-0.7)*5, 0)</f>
        <v>7</v>
      </c>
      <c r="Z2" s="63">
        <f t="shared" ref="Z2:Z11" si="0" xml:space="preserve"> (3*C2)
  + (2*G2)
  + (2*I2)</f>
        <v>9</v>
      </c>
      <c r="AA2" s="63">
        <f t="shared" ref="AA2:AA11" si="1" xml:space="preserve"> Y2
  + Z2
  - IF(Q2&lt;4, 0, IF(Q2=4, 1, 3))</f>
        <v>15</v>
      </c>
    </row>
    <row r="3" spans="1:27" ht="35.25" customHeight="1" x14ac:dyDescent="0.2">
      <c r="A3" s="5" t="s">
        <v>48</v>
      </c>
      <c r="B3" s="11" t="s">
        <v>49</v>
      </c>
      <c r="C3" s="5">
        <v>0</v>
      </c>
      <c r="D3" s="5">
        <v>2</v>
      </c>
      <c r="E3" s="5">
        <v>0</v>
      </c>
      <c r="F3" s="23">
        <v>2</v>
      </c>
      <c r="G3" s="24">
        <v>1</v>
      </c>
      <c r="H3" s="23">
        <v>0</v>
      </c>
      <c r="I3" s="24">
        <v>0</v>
      </c>
      <c r="J3" s="23">
        <v>0</v>
      </c>
      <c r="K3" s="5">
        <v>0</v>
      </c>
      <c r="L3" s="24">
        <v>0</v>
      </c>
      <c r="M3" s="23">
        <v>0</v>
      </c>
      <c r="N3" s="5">
        <v>0</v>
      </c>
      <c r="O3" s="24">
        <v>0</v>
      </c>
      <c r="P3" s="5">
        <f>(Table1567[[#This Row],[Field Goal (M)]]*2)+(Table1567[[#This Row],[Three Pointer (M)]]*3)+Table1567[[#This Row],[Foul Shot (M)]]</f>
        <v>0</v>
      </c>
      <c r="Q3" s="5">
        <v>0</v>
      </c>
      <c r="R3" s="29">
        <f>IFERROR(Table1567[[#This Row],[Foul Shot (M)]]/Table1567[[#This Row],[Foul Shot (A)]],0)</f>
        <v>0</v>
      </c>
      <c r="S3" s="30">
        <f>IFERROR(Table1567[[#This Row],[Field Goal (M)]]/Table1567[[#This Row],[Field Goal (A)]],0)</f>
        <v>0</v>
      </c>
      <c r="T3" s="31">
        <f>IFERROR(Table1567[[#This Row],[Three Pointer (M)]]/Table1567[[#This Row],[Three Pointer (A)]],0)</f>
        <v>0</v>
      </c>
      <c r="U3" s="5"/>
      <c r="V3" s="41">
        <f>SUM(Table1567[[#This Row],[Foul Shot (A)]]+Table1567[[#This Row],[Foul Shot (M)]])</f>
        <v>0</v>
      </c>
      <c r="W3" s="41">
        <f>SUM(Table1567[[#This Row],[Field Goal (A)]]+Table1567[[#This Row],[Field Goal (M)]])</f>
        <v>0</v>
      </c>
      <c r="X3" s="41">
        <f>SUM(Table1567[[#This Row],[Three Pointer (A)]]+Table1567[[#This Row],[Three Pointer (M)]])</f>
        <v>0</v>
      </c>
      <c r="Y3" s="63">
        <f t="shared" ref="Y2:Y11" si="2" xml:space="preserve"> (0.5*P3)
  + (2*E3)
  + (3*F3)
  + (1*H3)
  + (2*J3)
  - (1*D3)
  + IF(S3&gt;0.4, (S3-0.4)*10, 0)
  + IF(T3&gt;0.3, (T3-0.3)*10, 0)
  + IF(R3&gt;0.7, (R3-0.7)*5, 0)</f>
        <v>4</v>
      </c>
      <c r="Z3" s="63">
        <f t="shared" si="0"/>
        <v>2</v>
      </c>
      <c r="AA3" s="63">
        <f t="shared" si="1"/>
        <v>6</v>
      </c>
    </row>
    <row r="4" spans="1:27" ht="34.5" customHeight="1" x14ac:dyDescent="0.2">
      <c r="A4" s="5" t="s">
        <v>52</v>
      </c>
      <c r="B4" s="11" t="s">
        <v>53</v>
      </c>
      <c r="C4" s="5">
        <v>2</v>
      </c>
      <c r="D4" s="5">
        <v>1</v>
      </c>
      <c r="E4" s="5">
        <v>0</v>
      </c>
      <c r="F4" s="23">
        <v>2</v>
      </c>
      <c r="G4" s="24">
        <v>3</v>
      </c>
      <c r="H4" s="23">
        <v>0</v>
      </c>
      <c r="I4" s="24">
        <v>0</v>
      </c>
      <c r="J4" s="23">
        <v>2</v>
      </c>
      <c r="K4" s="5">
        <v>4</v>
      </c>
      <c r="L4" s="24">
        <v>0</v>
      </c>
      <c r="M4" s="23">
        <v>2</v>
      </c>
      <c r="N4" s="5">
        <v>1</v>
      </c>
      <c r="O4" s="24">
        <v>0</v>
      </c>
      <c r="P4" s="5">
        <f>(Table1567[[#This Row],[Field Goal (M)]]*2)+(Table1567[[#This Row],[Three Pointer (M)]]*3)+Table1567[[#This Row],[Foul Shot (M)]]</f>
        <v>4</v>
      </c>
      <c r="Q4" s="5">
        <v>0</v>
      </c>
      <c r="R4" s="29">
        <f>IFERROR(Table1567[[#This Row],[Foul Shot (M)]]/Table1567[[#This Row],[Foul Shot (A)]],0)</f>
        <v>1</v>
      </c>
      <c r="S4" s="30">
        <f>IFERROR(Table1567[[#This Row],[Field Goal (M)]]/Table1567[[#This Row],[Field Goal (A)]],0)</f>
        <v>0.25</v>
      </c>
      <c r="T4" s="31">
        <f>IFERROR(Table1567[[#This Row],[Three Pointer (M)]]/Table1567[[#This Row],[Three Pointer (A)]],0)</f>
        <v>0</v>
      </c>
      <c r="U4" s="5"/>
      <c r="V4" s="41">
        <f>SUM(Table1567[[#This Row],[Foul Shot (A)]]+Table1567[[#This Row],[Foul Shot (M)]])</f>
        <v>4</v>
      </c>
      <c r="W4" s="41">
        <f>SUM(Table1567[[#This Row],[Field Goal (A)]]+Table1567[[#This Row],[Field Goal (M)]])</f>
        <v>5</v>
      </c>
      <c r="X4" s="41">
        <f>SUM(Table1567[[#This Row],[Three Pointer (A)]]+Table1567[[#This Row],[Three Pointer (M)]])</f>
        <v>0</v>
      </c>
      <c r="Y4" s="63">
        <f t="shared" si="2"/>
        <v>12.5</v>
      </c>
      <c r="Z4" s="63">
        <f t="shared" si="0"/>
        <v>12</v>
      </c>
      <c r="AA4" s="63">
        <f t="shared" si="1"/>
        <v>24.5</v>
      </c>
    </row>
    <row r="5" spans="1:27" ht="34.5" customHeight="1" x14ac:dyDescent="0.2">
      <c r="A5" s="5" t="s">
        <v>54</v>
      </c>
      <c r="B5" s="11" t="s">
        <v>55</v>
      </c>
      <c r="C5" s="5">
        <v>3</v>
      </c>
      <c r="D5" s="5">
        <v>3</v>
      </c>
      <c r="E5" s="5">
        <v>0</v>
      </c>
      <c r="F5" s="23">
        <v>0</v>
      </c>
      <c r="G5" s="24">
        <v>1</v>
      </c>
      <c r="H5" s="23">
        <v>0</v>
      </c>
      <c r="I5" s="24">
        <v>0</v>
      </c>
      <c r="J5" s="23">
        <v>3</v>
      </c>
      <c r="K5" s="5">
        <v>6</v>
      </c>
      <c r="L5" s="24">
        <v>0</v>
      </c>
      <c r="M5" s="23">
        <v>1</v>
      </c>
      <c r="N5" s="5">
        <v>2</v>
      </c>
      <c r="O5" s="24">
        <v>0</v>
      </c>
      <c r="P5" s="5">
        <f>(Table1567[[#This Row],[Field Goal (M)]]*2)+(Table1567[[#This Row],[Three Pointer (M)]]*3)+Table1567[[#This Row],[Foul Shot (M)]]</f>
        <v>5</v>
      </c>
      <c r="Q5" s="5">
        <v>5</v>
      </c>
      <c r="R5" s="29">
        <f>IFERROR(Table1567[[#This Row],[Foul Shot (M)]]/Table1567[[#This Row],[Foul Shot (A)]],0)</f>
        <v>0.33333333333333331</v>
      </c>
      <c r="S5" s="30">
        <f>IFERROR(Table1567[[#This Row],[Field Goal (M)]]/Table1567[[#This Row],[Field Goal (A)]],0)</f>
        <v>0.33333333333333331</v>
      </c>
      <c r="T5" s="31">
        <f>IFERROR(Table1567[[#This Row],[Three Pointer (M)]]/Table1567[[#This Row],[Three Pointer (A)]],0)</f>
        <v>0</v>
      </c>
      <c r="U5" s="5"/>
      <c r="V5" s="41">
        <f>SUM(Table1567[[#This Row],[Foul Shot (A)]]+Table1567[[#This Row],[Foul Shot (M)]])</f>
        <v>4</v>
      </c>
      <c r="W5" s="41">
        <f>SUM(Table1567[[#This Row],[Field Goal (A)]]+Table1567[[#This Row],[Field Goal (M)]])</f>
        <v>8</v>
      </c>
      <c r="X5" s="41">
        <f>SUM(Table1567[[#This Row],[Three Pointer (A)]]+Table1567[[#This Row],[Three Pointer (M)]])</f>
        <v>0</v>
      </c>
      <c r="Y5" s="63">
        <f t="shared" si="2"/>
        <v>5.5</v>
      </c>
      <c r="Z5" s="63">
        <f t="shared" si="0"/>
        <v>11</v>
      </c>
      <c r="AA5" s="63">
        <f t="shared" si="1"/>
        <v>13.5</v>
      </c>
    </row>
    <row r="6" spans="1:27" ht="37.5" customHeight="1" x14ac:dyDescent="0.2">
      <c r="A6" s="5" t="s">
        <v>56</v>
      </c>
      <c r="B6" s="11" t="s">
        <v>57</v>
      </c>
      <c r="C6" s="5">
        <v>0</v>
      </c>
      <c r="D6" s="5">
        <v>1</v>
      </c>
      <c r="E6" s="5">
        <v>0</v>
      </c>
      <c r="F6" s="23">
        <v>0</v>
      </c>
      <c r="G6" s="24">
        <v>0</v>
      </c>
      <c r="H6" s="23">
        <v>0</v>
      </c>
      <c r="I6" s="24">
        <v>0</v>
      </c>
      <c r="J6" s="23">
        <v>0</v>
      </c>
      <c r="K6" s="5">
        <v>5</v>
      </c>
      <c r="L6" s="24">
        <v>0</v>
      </c>
      <c r="M6" s="23">
        <v>0</v>
      </c>
      <c r="N6" s="5">
        <v>1</v>
      </c>
      <c r="O6" s="24">
        <v>0</v>
      </c>
      <c r="P6" s="5">
        <f>(Table1567[[#This Row],[Field Goal (M)]]*2)+(Table1567[[#This Row],[Three Pointer (M)]]*3)+Table1567[[#This Row],[Foul Shot (M)]]</f>
        <v>2</v>
      </c>
      <c r="Q6" s="5">
        <v>1</v>
      </c>
      <c r="R6" s="29">
        <f>IFERROR(Table1567[[#This Row],[Foul Shot (M)]]/Table1567[[#This Row],[Foul Shot (A)]],0)</f>
        <v>0</v>
      </c>
      <c r="S6" s="30">
        <f>IFERROR(Table1567[[#This Row],[Field Goal (M)]]/Table1567[[#This Row],[Field Goal (A)]],0)</f>
        <v>0.2</v>
      </c>
      <c r="T6" s="31">
        <f>IFERROR(Table1567[[#This Row],[Three Pointer (M)]]/Table1567[[#This Row],[Three Pointer (A)]],0)</f>
        <v>0</v>
      </c>
      <c r="U6" s="5"/>
      <c r="V6" s="41">
        <f>SUM(Table1567[[#This Row],[Foul Shot (A)]]+Table1567[[#This Row],[Foul Shot (M)]])</f>
        <v>0</v>
      </c>
      <c r="W6" s="41">
        <f>SUM(Table1567[[#This Row],[Field Goal (A)]]+Table1567[[#This Row],[Field Goal (M)]])</f>
        <v>6</v>
      </c>
      <c r="X6" s="41">
        <f>SUM(Table1567[[#This Row],[Three Pointer (A)]]+Table1567[[#This Row],[Three Pointer (M)]])</f>
        <v>0</v>
      </c>
      <c r="Y6" s="63">
        <f t="shared" si="2"/>
        <v>0</v>
      </c>
      <c r="Z6" s="63">
        <f t="shared" si="0"/>
        <v>0</v>
      </c>
      <c r="AA6" s="63">
        <f t="shared" si="1"/>
        <v>0</v>
      </c>
    </row>
    <row r="7" spans="1:27" ht="31.5" customHeight="1" x14ac:dyDescent="0.2">
      <c r="A7" s="5" t="s">
        <v>58</v>
      </c>
      <c r="B7" s="11" t="s">
        <v>59</v>
      </c>
      <c r="C7" s="5">
        <v>0</v>
      </c>
      <c r="D7" s="5">
        <v>1</v>
      </c>
      <c r="E7" s="5">
        <v>0</v>
      </c>
      <c r="F7" s="23">
        <v>0</v>
      </c>
      <c r="G7" s="24">
        <v>0</v>
      </c>
      <c r="H7" s="23">
        <v>0</v>
      </c>
      <c r="I7" s="24">
        <v>0</v>
      </c>
      <c r="J7" s="23">
        <v>0</v>
      </c>
      <c r="K7" s="5">
        <v>3</v>
      </c>
      <c r="L7" s="24">
        <v>0</v>
      </c>
      <c r="M7" s="23">
        <v>0</v>
      </c>
      <c r="N7" s="5">
        <v>0</v>
      </c>
      <c r="O7" s="24">
        <v>0</v>
      </c>
      <c r="P7" s="5">
        <f>(Table1567[[#This Row],[Field Goal (M)]]*2)+(Table1567[[#This Row],[Three Pointer (M)]]*3)+Table1567[[#This Row],[Foul Shot (M)]]</f>
        <v>0</v>
      </c>
      <c r="Q7" s="5">
        <v>0</v>
      </c>
      <c r="R7" s="29">
        <f>IFERROR(Table1567[[#This Row],[Foul Shot (M)]]/Table1567[[#This Row],[Foul Shot (A)]],0)</f>
        <v>0</v>
      </c>
      <c r="S7" s="30">
        <f>IFERROR(Table1567[[#This Row],[Field Goal (M)]]/Table1567[[#This Row],[Field Goal (A)]],0)</f>
        <v>0</v>
      </c>
      <c r="T7" s="31">
        <f>IFERROR(Table1567[[#This Row],[Three Pointer (M)]]/Table1567[[#This Row],[Three Pointer (A)]],0)</f>
        <v>0</v>
      </c>
      <c r="U7" s="5"/>
      <c r="V7" s="41">
        <f>SUM(Table1567[[#This Row],[Foul Shot (A)]]+Table1567[[#This Row],[Foul Shot (M)]])</f>
        <v>0</v>
      </c>
      <c r="W7" s="41">
        <f>SUM(Table1567[[#This Row],[Field Goal (A)]]+Table1567[[#This Row],[Field Goal (M)]])</f>
        <v>3</v>
      </c>
      <c r="X7" s="41">
        <f>SUM(Table1567[[#This Row],[Three Pointer (A)]]+Table1567[[#This Row],[Three Pointer (M)]])</f>
        <v>0</v>
      </c>
      <c r="Y7" s="63">
        <f t="shared" si="2"/>
        <v>-1</v>
      </c>
      <c r="Z7" s="63">
        <f t="shared" si="0"/>
        <v>0</v>
      </c>
      <c r="AA7" s="63">
        <f t="shared" si="1"/>
        <v>-1</v>
      </c>
    </row>
    <row r="8" spans="1:27" ht="35.25" customHeight="1" x14ac:dyDescent="0.2">
      <c r="A8" s="5" t="s">
        <v>60</v>
      </c>
      <c r="B8" s="11" t="s">
        <v>61</v>
      </c>
      <c r="C8" s="5">
        <v>2</v>
      </c>
      <c r="D8" s="5">
        <v>3</v>
      </c>
      <c r="E8" s="5">
        <v>0</v>
      </c>
      <c r="F8" s="23">
        <v>0</v>
      </c>
      <c r="G8" s="24">
        <v>1</v>
      </c>
      <c r="H8" s="23">
        <v>0</v>
      </c>
      <c r="I8" s="24">
        <v>0</v>
      </c>
      <c r="J8" s="23">
        <v>2</v>
      </c>
      <c r="K8" s="5">
        <v>9</v>
      </c>
      <c r="L8" s="24">
        <v>0</v>
      </c>
      <c r="M8" s="23">
        <v>2</v>
      </c>
      <c r="N8" s="5">
        <v>5</v>
      </c>
      <c r="O8" s="24">
        <v>0</v>
      </c>
      <c r="P8" s="5">
        <f>(Table1567[[#This Row],[Field Goal (M)]]*2)+(Table1567[[#This Row],[Three Pointer (M)]]*3)+Table1567[[#This Row],[Foul Shot (M)]]</f>
        <v>12</v>
      </c>
      <c r="Q8" s="5">
        <v>2</v>
      </c>
      <c r="R8" s="29">
        <f>IFERROR(Table1567[[#This Row],[Foul Shot (M)]]/Table1567[[#This Row],[Foul Shot (A)]],0)</f>
        <v>1</v>
      </c>
      <c r="S8" s="30">
        <f>IFERROR(Table1567[[#This Row],[Field Goal (M)]]/Table1567[[#This Row],[Field Goal (A)]],0)</f>
        <v>0.55555555555555558</v>
      </c>
      <c r="T8" s="31">
        <f>IFERROR(Table1567[[#This Row],[Three Pointer (M)]]/Table1567[[#This Row],[Three Pointer (A)]],0)</f>
        <v>0</v>
      </c>
      <c r="U8" s="5"/>
      <c r="V8" s="41">
        <f>SUM(Table1567[[#This Row],[Foul Shot (A)]]+Table1567[[#This Row],[Foul Shot (M)]])</f>
        <v>4</v>
      </c>
      <c r="W8" s="41">
        <f>SUM(Table1567[[#This Row],[Field Goal (A)]]+Table1567[[#This Row],[Field Goal (M)]])</f>
        <v>14</v>
      </c>
      <c r="X8" s="41">
        <f>SUM(Table1567[[#This Row],[Three Pointer (A)]]+Table1567[[#This Row],[Three Pointer (M)]])</f>
        <v>0</v>
      </c>
      <c r="Y8" s="63">
        <f t="shared" si="2"/>
        <v>10.055555555555555</v>
      </c>
      <c r="Z8" s="63">
        <f t="shared" si="0"/>
        <v>8</v>
      </c>
      <c r="AA8" s="63">
        <f t="shared" si="1"/>
        <v>18.055555555555557</v>
      </c>
    </row>
    <row r="9" spans="1:27" ht="30.75" customHeight="1" x14ac:dyDescent="0.2">
      <c r="A9" s="5" t="s">
        <v>63</v>
      </c>
      <c r="B9" s="11" t="s">
        <v>64</v>
      </c>
      <c r="C9" s="5">
        <v>0</v>
      </c>
      <c r="D9" s="5">
        <v>0</v>
      </c>
      <c r="E9" s="5">
        <v>1</v>
      </c>
      <c r="F9" s="23">
        <v>2</v>
      </c>
      <c r="G9" s="24">
        <v>4</v>
      </c>
      <c r="H9" s="23">
        <v>0</v>
      </c>
      <c r="I9" s="24">
        <v>0</v>
      </c>
      <c r="J9" s="23">
        <v>2</v>
      </c>
      <c r="K9" s="5">
        <v>4</v>
      </c>
      <c r="L9" s="24">
        <v>0</v>
      </c>
      <c r="M9" s="23">
        <v>1</v>
      </c>
      <c r="N9" s="5">
        <v>2</v>
      </c>
      <c r="O9" s="24">
        <v>0</v>
      </c>
      <c r="P9" s="5">
        <f>(Table1567[[#This Row],[Field Goal (M)]]*2)+(Table1567[[#This Row],[Three Pointer (M)]]*3)+Table1567[[#This Row],[Foul Shot (M)]]</f>
        <v>5</v>
      </c>
      <c r="Q9" s="5">
        <v>5</v>
      </c>
      <c r="R9" s="29">
        <f>IFERROR(Table1567[[#This Row],[Foul Shot (M)]]/Table1567[[#This Row],[Foul Shot (A)]],0)</f>
        <v>0.5</v>
      </c>
      <c r="S9" s="30">
        <f>IFERROR(Table1567[[#This Row],[Field Goal (M)]]/Table1567[[#This Row],[Field Goal (A)]],0)</f>
        <v>0.5</v>
      </c>
      <c r="T9" s="31">
        <f>IFERROR(Table1567[[#This Row],[Three Pointer (M)]]/Table1567[[#This Row],[Three Pointer (A)]],0)</f>
        <v>0</v>
      </c>
      <c r="U9" s="5"/>
      <c r="V9" s="41">
        <f>SUM(Table1567[[#This Row],[Foul Shot (A)]]+Table1567[[#This Row],[Foul Shot (M)]])</f>
        <v>3</v>
      </c>
      <c r="W9" s="41">
        <f>SUM(Table1567[[#This Row],[Field Goal (A)]]+Table1567[[#This Row],[Field Goal (M)]])</f>
        <v>6</v>
      </c>
      <c r="X9" s="41">
        <f>SUM(Table1567[[#This Row],[Three Pointer (A)]]+Table1567[[#This Row],[Three Pointer (M)]])</f>
        <v>0</v>
      </c>
      <c r="Y9" s="63">
        <f t="shared" si="2"/>
        <v>15.5</v>
      </c>
      <c r="Z9" s="63">
        <f t="shared" si="0"/>
        <v>8</v>
      </c>
      <c r="AA9" s="63">
        <f xml:space="preserve"> Y9
  + Z9
  - IF(Q9&lt;4, 0, IF(Q9=4, 1, 3))</f>
        <v>20.5</v>
      </c>
    </row>
    <row r="10" spans="1:27" ht="33.75" customHeight="1" x14ac:dyDescent="0.2">
      <c r="A10" s="5">
        <v>65</v>
      </c>
      <c r="B10" s="11" t="s">
        <v>65</v>
      </c>
      <c r="C10" s="5">
        <v>0</v>
      </c>
      <c r="D10" s="5">
        <v>4</v>
      </c>
      <c r="E10" s="5">
        <v>0</v>
      </c>
      <c r="F10" s="23">
        <v>0</v>
      </c>
      <c r="G10" s="24">
        <v>1</v>
      </c>
      <c r="H10" s="23">
        <v>0</v>
      </c>
      <c r="I10" s="24">
        <v>0</v>
      </c>
      <c r="J10" s="23">
        <v>0</v>
      </c>
      <c r="K10" s="5">
        <v>1</v>
      </c>
      <c r="L10" s="24">
        <v>0</v>
      </c>
      <c r="M10" s="23">
        <v>0</v>
      </c>
      <c r="N10" s="5">
        <v>0</v>
      </c>
      <c r="O10" s="24">
        <v>0</v>
      </c>
      <c r="P10" s="5">
        <f>(Table1567[[#This Row],[Field Goal (M)]]*2)+(Table1567[[#This Row],[Three Pointer (M)]]*3)+Table1567[[#This Row],[Foul Shot (M)]]</f>
        <v>0</v>
      </c>
      <c r="Q10" s="5">
        <v>1</v>
      </c>
      <c r="R10" s="29">
        <f>IFERROR(Table1567[[#This Row],[Foul Shot (M)]]/Table1567[[#This Row],[Foul Shot (A)]],0)</f>
        <v>0</v>
      </c>
      <c r="S10" s="30">
        <f>IFERROR(Table1567[[#This Row],[Field Goal (M)]]/Table1567[[#This Row],[Field Goal (A)]],0)</f>
        <v>0</v>
      </c>
      <c r="T10" s="31">
        <f>IFERROR(Table1567[[#This Row],[Three Pointer (M)]]/Table1567[[#This Row],[Three Pointer (A)]],0)</f>
        <v>0</v>
      </c>
      <c r="U10" s="5"/>
      <c r="V10" s="41">
        <f>SUM(Table1567[[#This Row],[Foul Shot (A)]]+Table1567[[#This Row],[Foul Shot (M)]])</f>
        <v>0</v>
      </c>
      <c r="W10" s="41">
        <f>SUM(Table1567[[#This Row],[Field Goal (A)]]+Table1567[[#This Row],[Field Goal (M)]])</f>
        <v>1</v>
      </c>
      <c r="X10" s="41">
        <f>SUM(Table1567[[#This Row],[Three Pointer (A)]]+Table1567[[#This Row],[Three Pointer (M)]])</f>
        <v>0</v>
      </c>
      <c r="Y10" s="63">
        <f t="shared" si="2"/>
        <v>-4</v>
      </c>
      <c r="Z10" s="63">
        <f t="shared" si="0"/>
        <v>2</v>
      </c>
      <c r="AA10" s="63">
        <f t="shared" si="1"/>
        <v>-2</v>
      </c>
    </row>
    <row r="11" spans="1:27" ht="33" customHeight="1" x14ac:dyDescent="0.2">
      <c r="A11" s="5" t="s">
        <v>67</v>
      </c>
      <c r="B11" s="11" t="s">
        <v>68</v>
      </c>
      <c r="C11" s="5">
        <v>0</v>
      </c>
      <c r="D11" s="5">
        <v>2</v>
      </c>
      <c r="E11" s="5">
        <v>0</v>
      </c>
      <c r="F11" s="23">
        <v>2</v>
      </c>
      <c r="G11" s="24">
        <v>2</v>
      </c>
      <c r="H11" s="23">
        <v>0</v>
      </c>
      <c r="I11" s="24">
        <v>0</v>
      </c>
      <c r="J11" s="23">
        <v>3</v>
      </c>
      <c r="K11" s="5">
        <v>2</v>
      </c>
      <c r="L11" s="24">
        <v>0</v>
      </c>
      <c r="M11" s="23">
        <v>3</v>
      </c>
      <c r="N11" s="5">
        <v>1</v>
      </c>
      <c r="O11" s="24">
        <v>0</v>
      </c>
      <c r="P11" s="5">
        <f>(Table1567[[#This Row],[Field Goal (M)]]*2)+(Table1567[[#This Row],[Three Pointer (M)]]*3)+Table1567[[#This Row],[Foul Shot (M)]]</f>
        <v>5</v>
      </c>
      <c r="Q11" s="5">
        <v>1</v>
      </c>
      <c r="R11" s="29">
        <f>IFERROR(Table1567[[#This Row],[Foul Shot (M)]]/Table1567[[#This Row],[Foul Shot (A)]],0)</f>
        <v>1</v>
      </c>
      <c r="S11" s="30">
        <f>IFERROR(Table1567[[#This Row],[Field Goal (M)]]/Table1567[[#This Row],[Field Goal (A)]],0)</f>
        <v>0.5</v>
      </c>
      <c r="T11" s="31">
        <f>IFERROR(Table1567[[#This Row],[Three Pointer (M)]]/Table1567[[#This Row],[Three Pointer (A)]],0)</f>
        <v>0</v>
      </c>
      <c r="U11" s="5"/>
      <c r="V11" s="41">
        <f>SUM(Table1567[[#This Row],[Foul Shot (A)]]+Table1567[[#This Row],[Foul Shot (M)]])</f>
        <v>6</v>
      </c>
      <c r="W11" s="41">
        <f>SUM(Table1567[[#This Row],[Field Goal (A)]]+Table1567[[#This Row],[Field Goal (M)]])</f>
        <v>3</v>
      </c>
      <c r="X11" s="41">
        <f>SUM(Table1567[[#This Row],[Three Pointer (A)]]+Table1567[[#This Row],[Three Pointer (M)]])</f>
        <v>0</v>
      </c>
      <c r="Y11" s="63">
        <f t="shared" si="2"/>
        <v>15</v>
      </c>
      <c r="Z11" s="63">
        <f t="shared" si="0"/>
        <v>4</v>
      </c>
      <c r="AA11" s="63">
        <f t="shared" si="1"/>
        <v>19</v>
      </c>
    </row>
    <row r="12" spans="1:27" x14ac:dyDescent="0.2">
      <c r="A12" s="11" t="s">
        <v>69</v>
      </c>
      <c r="C12" s="5">
        <f>SUM(Table1567[Steals])</f>
        <v>8</v>
      </c>
      <c r="D12" s="5">
        <f>SUM(Table1567[Turnovers])</f>
        <v>17</v>
      </c>
      <c r="E12" s="5">
        <f>SUM(Table1567[Assists])</f>
        <v>2</v>
      </c>
      <c r="F12" s="25">
        <f>SUM(Table1567[Rebound (Offensive)])</f>
        <v>8</v>
      </c>
      <c r="G12" s="26">
        <f>SUM(Table1567[Rebound (Defensive)])</f>
        <v>16</v>
      </c>
      <c r="H12" s="25">
        <f>SUM(Table1567[Charge (Offensive)])</f>
        <v>0</v>
      </c>
      <c r="I12" s="26">
        <f>SUM(Table1567[Charge (Defensive)])</f>
        <v>0</v>
      </c>
      <c r="J12" s="25">
        <f>SUM(Table1567[Foul Shot (A)])</f>
        <v>12</v>
      </c>
      <c r="K12" s="28">
        <f>SUM(Table1567[Field Goal (A)])</f>
        <v>39</v>
      </c>
      <c r="L12" s="26">
        <f>SUM(Table1567[Three Pointer (A)])</f>
        <v>0</v>
      </c>
      <c r="M12" s="25">
        <f>SUM(Table1567[Foul Shot (M)])</f>
        <v>9</v>
      </c>
      <c r="N12" s="28">
        <f>SUM(Table1567[Field Goal (M)])</f>
        <v>15</v>
      </c>
      <c r="O12" s="26">
        <f>SUM(Table1567[Three Pointer (M)])</f>
        <v>0</v>
      </c>
      <c r="P12" s="5">
        <f>SUM(Table1567[[Points ]])</f>
        <v>39</v>
      </c>
      <c r="Q12" s="5">
        <f>SUM(Table1567[Fouls])</f>
        <v>19</v>
      </c>
      <c r="R12" s="32">
        <f>Table1567[[#Totals],[Foul Shot (M)]]/Table1567[[#Totals],[Foul Shot (A)]]</f>
        <v>0.75</v>
      </c>
      <c r="S12" s="33">
        <f>Table1567[[#Totals],[Field Goal (M)]]/Table1567[[#Totals],[Field Goal (A)]]</f>
        <v>0.38461538461538464</v>
      </c>
      <c r="T12" s="34" t="e">
        <f>Table1567[[#Totals],[Three Pointer (M)]]/Table1567[[#Totals],[Three Pointer (A)]]</f>
        <v>#DIV/0!</v>
      </c>
      <c r="U12" s="5"/>
      <c r="V12" s="41"/>
      <c r="W12" s="41"/>
      <c r="X12" s="41"/>
      <c r="Y12" s="41"/>
      <c r="Z12" s="41"/>
      <c r="AA12" s="41"/>
    </row>
    <row r="13" spans="1:27" ht="20" thickBot="1" x14ac:dyDescent="0.25"/>
    <row r="14" spans="1:27" ht="20" thickBot="1" x14ac:dyDescent="0.25">
      <c r="A14" s="17" t="s">
        <v>70</v>
      </c>
      <c r="B14" s="12"/>
      <c r="C14" s="13"/>
      <c r="D14" s="13"/>
      <c r="E14" s="13"/>
      <c r="F14" s="14">
        <v>11</v>
      </c>
      <c r="G14" s="14">
        <v>12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5"/>
    </row>
  </sheetData>
  <phoneticPr fontId="3" type="noConversion"/>
  <conditionalFormatting sqref="AA2:A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2:A11" numberStoredAsText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33DC-DF14-B340-904D-D8542ED4C8F6}">
  <dimension ref="A1:AA28"/>
  <sheetViews>
    <sheetView workbookViewId="0">
      <selection activeCell="E3" sqref="E3:E4"/>
    </sheetView>
  </sheetViews>
  <sheetFormatPr baseColWidth="10" defaultColWidth="14" defaultRowHeight="15" x14ac:dyDescent="0.2"/>
  <cols>
    <col min="1" max="1" width="11.5" style="2" bestFit="1" customWidth="1"/>
    <col min="2" max="3" width="9.83203125" style="2" customWidth="1"/>
    <col min="4" max="4" width="4.6640625" style="2" customWidth="1"/>
    <col min="5" max="27" width="9.83203125" style="2" customWidth="1"/>
    <col min="28" max="16384" width="14" style="2"/>
  </cols>
  <sheetData>
    <row r="1" spans="1:27" x14ac:dyDescent="0.2">
      <c r="L1" s="54" t="s">
        <v>88</v>
      </c>
      <c r="M1" s="54"/>
      <c r="N1" s="54"/>
    </row>
    <row r="2" spans="1:27" ht="50" customHeight="1" x14ac:dyDescent="0.2">
      <c r="A2" s="42" t="s">
        <v>78</v>
      </c>
      <c r="B2" s="44" t="s">
        <v>74</v>
      </c>
      <c r="C2" s="44" t="s">
        <v>75</v>
      </c>
      <c r="D2" s="44"/>
      <c r="E2" s="44" t="s">
        <v>84</v>
      </c>
      <c r="F2" s="44" t="s">
        <v>27</v>
      </c>
      <c r="G2" s="44" t="s">
        <v>28</v>
      </c>
      <c r="H2" s="44" t="s">
        <v>29</v>
      </c>
      <c r="I2" s="42" t="s">
        <v>30</v>
      </c>
      <c r="J2" s="44" t="s">
        <v>31</v>
      </c>
      <c r="K2" s="43" t="s">
        <v>87</v>
      </c>
      <c r="L2" s="42" t="s">
        <v>30</v>
      </c>
      <c r="M2" s="44" t="s">
        <v>31</v>
      </c>
      <c r="N2" s="43" t="s">
        <v>87</v>
      </c>
      <c r="O2" s="44" t="s">
        <v>32</v>
      </c>
      <c r="P2" s="43" t="s">
        <v>33</v>
      </c>
      <c r="Q2" s="42" t="s">
        <v>36</v>
      </c>
      <c r="R2" s="44" t="s">
        <v>34</v>
      </c>
      <c r="S2" s="43" t="s">
        <v>35</v>
      </c>
      <c r="T2" s="42" t="s">
        <v>39</v>
      </c>
      <c r="U2" s="44" t="s">
        <v>37</v>
      </c>
      <c r="V2" s="43" t="s">
        <v>38</v>
      </c>
      <c r="W2" s="44" t="s">
        <v>7</v>
      </c>
      <c r="X2" s="44" t="s">
        <v>42</v>
      </c>
      <c r="Y2" s="42" t="s">
        <v>72</v>
      </c>
      <c r="Z2" s="44" t="s">
        <v>73</v>
      </c>
      <c r="AA2" s="43" t="s">
        <v>71</v>
      </c>
    </row>
    <row r="3" spans="1:27" x14ac:dyDescent="0.2">
      <c r="A3" s="45" t="s">
        <v>79</v>
      </c>
      <c r="B3" s="53">
        <v>45723</v>
      </c>
      <c r="C3" s="2" t="s">
        <v>76</v>
      </c>
      <c r="D3" s="2" t="s">
        <v>89</v>
      </c>
      <c r="E3" s="2" t="s">
        <v>86</v>
      </c>
      <c r="F3" s="2">
        <v>10</v>
      </c>
      <c r="G3" s="2">
        <v>19</v>
      </c>
      <c r="H3" s="2">
        <v>5</v>
      </c>
      <c r="I3" s="45">
        <v>12</v>
      </c>
      <c r="J3" s="2">
        <v>16</v>
      </c>
      <c r="K3" s="46">
        <f>SUM(I3:J3)</f>
        <v>28</v>
      </c>
      <c r="L3" s="45">
        <v>9</v>
      </c>
      <c r="M3" s="2">
        <v>5</v>
      </c>
      <c r="N3" s="46">
        <f>SUM(L3:M3)</f>
        <v>14</v>
      </c>
      <c r="O3" s="2">
        <v>0</v>
      </c>
      <c r="P3" s="2">
        <v>0</v>
      </c>
      <c r="Q3" s="45">
        <v>19</v>
      </c>
      <c r="R3" s="2">
        <v>33</v>
      </c>
      <c r="S3" s="46">
        <v>4</v>
      </c>
      <c r="T3" s="45">
        <v>9</v>
      </c>
      <c r="U3" s="2">
        <v>11</v>
      </c>
      <c r="V3" s="46">
        <v>2</v>
      </c>
      <c r="W3" s="2">
        <v>37</v>
      </c>
      <c r="X3" s="2">
        <v>19</v>
      </c>
      <c r="Y3" s="50">
        <f>T3/Q3</f>
        <v>0.47368421052631576</v>
      </c>
      <c r="Z3" s="51">
        <f>U3/R3</f>
        <v>0.33333333333333331</v>
      </c>
      <c r="AA3" s="52">
        <f>V3/S3</f>
        <v>0.5</v>
      </c>
    </row>
    <row r="4" spans="1:27" x14ac:dyDescent="0.2">
      <c r="A4" s="45" t="s">
        <v>80</v>
      </c>
      <c r="B4" s="53">
        <v>45730</v>
      </c>
      <c r="C4" s="2" t="s">
        <v>77</v>
      </c>
      <c r="D4" s="2" t="s">
        <v>23</v>
      </c>
      <c r="E4" s="2" t="s">
        <v>85</v>
      </c>
      <c r="F4" s="2">
        <v>8</v>
      </c>
      <c r="G4" s="2">
        <v>17</v>
      </c>
      <c r="H4" s="2">
        <v>2</v>
      </c>
      <c r="I4" s="45">
        <v>8</v>
      </c>
      <c r="J4" s="2">
        <v>16</v>
      </c>
      <c r="K4" s="46">
        <f>SUM(I4:J4)</f>
        <v>24</v>
      </c>
      <c r="L4" s="45">
        <v>11</v>
      </c>
      <c r="M4" s="2">
        <v>12</v>
      </c>
      <c r="N4" s="46">
        <f>SUM(L4:M4)</f>
        <v>23</v>
      </c>
      <c r="O4" s="2">
        <v>0</v>
      </c>
      <c r="P4" s="2">
        <v>0</v>
      </c>
      <c r="Q4" s="45">
        <v>12</v>
      </c>
      <c r="R4" s="2">
        <v>39</v>
      </c>
      <c r="S4" s="46">
        <v>0</v>
      </c>
      <c r="T4" s="45">
        <v>9</v>
      </c>
      <c r="U4" s="2">
        <v>15</v>
      </c>
      <c r="V4" s="46">
        <v>0</v>
      </c>
      <c r="W4" s="2">
        <v>39</v>
      </c>
      <c r="X4" s="2">
        <v>19</v>
      </c>
      <c r="Y4" s="50">
        <f>T4/Q4</f>
        <v>0.75</v>
      </c>
      <c r="Z4" s="51">
        <f>U4/R4</f>
        <v>0.38461538461538464</v>
      </c>
      <c r="AA4" s="52">
        <v>0</v>
      </c>
    </row>
    <row r="5" spans="1:27" x14ac:dyDescent="0.2">
      <c r="A5" s="45"/>
      <c r="I5" s="45"/>
      <c r="K5" s="46"/>
      <c r="L5" s="45"/>
      <c r="N5" s="46"/>
      <c r="Q5" s="45"/>
      <c r="S5" s="46"/>
      <c r="T5" s="45"/>
      <c r="V5" s="46"/>
      <c r="Y5" s="45"/>
      <c r="AA5" s="46"/>
    </row>
    <row r="6" spans="1:27" x14ac:dyDescent="0.2">
      <c r="A6" s="45"/>
      <c r="I6" s="45"/>
      <c r="K6" s="46"/>
      <c r="L6" s="45"/>
      <c r="N6" s="46"/>
      <c r="Q6" s="45"/>
      <c r="S6" s="46"/>
      <c r="T6" s="45"/>
      <c r="V6" s="46"/>
      <c r="Y6" s="45"/>
      <c r="AA6" s="46"/>
    </row>
    <row r="7" spans="1:27" x14ac:dyDescent="0.2">
      <c r="A7" s="45"/>
      <c r="I7" s="45"/>
      <c r="K7" s="46"/>
      <c r="L7" s="45"/>
      <c r="N7" s="46"/>
      <c r="Q7" s="45"/>
      <c r="S7" s="46"/>
      <c r="T7" s="45"/>
      <c r="V7" s="46"/>
      <c r="Y7" s="45"/>
      <c r="AA7" s="46"/>
    </row>
    <row r="8" spans="1:27" x14ac:dyDescent="0.2">
      <c r="A8" s="45"/>
      <c r="I8" s="45"/>
      <c r="K8" s="46"/>
      <c r="L8" s="45"/>
      <c r="N8" s="46"/>
      <c r="Q8" s="45"/>
      <c r="S8" s="46"/>
      <c r="T8" s="45"/>
      <c r="V8" s="46"/>
      <c r="Y8" s="45"/>
      <c r="AA8" s="46"/>
    </row>
    <row r="9" spans="1:27" x14ac:dyDescent="0.2">
      <c r="A9" s="45"/>
      <c r="I9" s="45"/>
      <c r="K9" s="46"/>
      <c r="L9" s="45"/>
      <c r="N9" s="46"/>
      <c r="Q9" s="45"/>
      <c r="S9" s="46"/>
      <c r="T9" s="45"/>
      <c r="V9" s="46"/>
      <c r="Y9" s="45"/>
      <c r="AA9" s="46"/>
    </row>
    <row r="10" spans="1:27" x14ac:dyDescent="0.2">
      <c r="A10" s="45"/>
      <c r="I10" s="45"/>
      <c r="K10" s="46"/>
      <c r="L10" s="45"/>
      <c r="N10" s="46"/>
      <c r="Q10" s="45"/>
      <c r="S10" s="46"/>
      <c r="T10" s="45"/>
      <c r="V10" s="46"/>
      <c r="Y10" s="45"/>
      <c r="AA10" s="46"/>
    </row>
    <row r="11" spans="1:27" x14ac:dyDescent="0.2">
      <c r="A11" s="45"/>
      <c r="I11" s="45"/>
      <c r="K11" s="46"/>
      <c r="L11" s="45"/>
      <c r="N11" s="46"/>
      <c r="Q11" s="45"/>
      <c r="S11" s="46"/>
      <c r="T11" s="45"/>
      <c r="V11" s="46"/>
      <c r="Y11" s="45"/>
      <c r="AA11" s="46"/>
    </row>
    <row r="12" spans="1:27" x14ac:dyDescent="0.2">
      <c r="A12" s="45"/>
      <c r="I12" s="45"/>
      <c r="K12" s="46"/>
      <c r="L12" s="45"/>
      <c r="N12" s="46"/>
      <c r="Q12" s="45"/>
      <c r="S12" s="46"/>
      <c r="T12" s="45"/>
      <c r="V12" s="46"/>
      <c r="Y12" s="45"/>
      <c r="AA12" s="46"/>
    </row>
    <row r="13" spans="1:27" x14ac:dyDescent="0.2">
      <c r="A13" s="45"/>
      <c r="I13" s="45"/>
      <c r="K13" s="46"/>
      <c r="L13" s="45"/>
      <c r="N13" s="46"/>
      <c r="Q13" s="45"/>
      <c r="S13" s="46"/>
      <c r="T13" s="45"/>
      <c r="V13" s="46"/>
      <c r="Y13" s="45"/>
      <c r="AA13" s="46"/>
    </row>
    <row r="14" spans="1:27" x14ac:dyDescent="0.2">
      <c r="A14" s="45"/>
      <c r="I14" s="45"/>
      <c r="K14" s="46"/>
      <c r="L14" s="45"/>
      <c r="N14" s="46"/>
      <c r="Q14" s="45"/>
      <c r="S14" s="46"/>
      <c r="T14" s="45"/>
      <c r="V14" s="46"/>
      <c r="Y14" s="45"/>
      <c r="AA14" s="46"/>
    </row>
    <row r="15" spans="1:27" x14ac:dyDescent="0.2">
      <c r="A15" s="45"/>
      <c r="I15" s="45"/>
      <c r="K15" s="46"/>
      <c r="L15" s="45"/>
      <c r="N15" s="46"/>
      <c r="Q15" s="45"/>
      <c r="S15" s="46"/>
      <c r="T15" s="45"/>
      <c r="V15" s="46"/>
      <c r="Y15" s="45"/>
      <c r="AA15" s="46"/>
    </row>
    <row r="16" spans="1:27" x14ac:dyDescent="0.2">
      <c r="A16" s="45"/>
      <c r="I16" s="45"/>
      <c r="K16" s="46"/>
      <c r="L16" s="45"/>
      <c r="N16" s="46"/>
      <c r="Q16" s="45"/>
      <c r="S16" s="46"/>
      <c r="T16" s="45"/>
      <c r="V16" s="46"/>
      <c r="Y16" s="45"/>
      <c r="AA16" s="46"/>
    </row>
    <row r="17" spans="1:27" x14ac:dyDescent="0.2">
      <c r="A17" s="45"/>
      <c r="I17" s="45"/>
      <c r="K17" s="46"/>
      <c r="L17" s="45"/>
      <c r="N17" s="46"/>
      <c r="Q17" s="45"/>
      <c r="S17" s="46"/>
      <c r="T17" s="45"/>
      <c r="V17" s="46"/>
      <c r="Y17" s="45"/>
      <c r="AA17" s="46"/>
    </row>
    <row r="18" spans="1:27" x14ac:dyDescent="0.2">
      <c r="A18" s="45"/>
      <c r="I18" s="45"/>
      <c r="K18" s="46"/>
      <c r="L18" s="45"/>
      <c r="N18" s="46"/>
      <c r="Q18" s="45"/>
      <c r="S18" s="46"/>
      <c r="T18" s="45"/>
      <c r="V18" s="46"/>
      <c r="Y18" s="45"/>
      <c r="AA18" s="46"/>
    </row>
    <row r="19" spans="1:27" x14ac:dyDescent="0.2">
      <c r="A19" s="45"/>
      <c r="I19" s="45"/>
      <c r="K19" s="46"/>
      <c r="L19" s="45"/>
      <c r="N19" s="46"/>
      <c r="Q19" s="45"/>
      <c r="S19" s="46"/>
      <c r="T19" s="45"/>
      <c r="V19" s="46"/>
      <c r="Y19" s="45"/>
      <c r="AA19" s="46"/>
    </row>
    <row r="20" spans="1:27" x14ac:dyDescent="0.2">
      <c r="A20" s="45"/>
      <c r="I20" s="45"/>
      <c r="K20" s="46"/>
      <c r="L20" s="45"/>
      <c r="N20" s="46"/>
      <c r="Q20" s="45"/>
      <c r="S20" s="46"/>
      <c r="T20" s="45"/>
      <c r="V20" s="46"/>
      <c r="Y20" s="45"/>
      <c r="AA20" s="46"/>
    </row>
    <row r="21" spans="1:27" x14ac:dyDescent="0.2">
      <c r="A21" s="45"/>
      <c r="I21" s="45"/>
      <c r="K21" s="46"/>
      <c r="L21" s="45"/>
      <c r="N21" s="46"/>
      <c r="Q21" s="45"/>
      <c r="S21" s="46"/>
      <c r="T21" s="45"/>
      <c r="V21" s="46"/>
      <c r="Y21" s="45"/>
      <c r="AA21" s="46"/>
    </row>
    <row r="22" spans="1:27" x14ac:dyDescent="0.2">
      <c r="A22" s="45"/>
      <c r="I22" s="45"/>
      <c r="K22" s="46"/>
      <c r="L22" s="45"/>
      <c r="N22" s="46"/>
      <c r="Q22" s="45"/>
      <c r="S22" s="46"/>
      <c r="T22" s="45"/>
      <c r="V22" s="46"/>
      <c r="Y22" s="45"/>
      <c r="AA22" s="46"/>
    </row>
    <row r="23" spans="1:27" x14ac:dyDescent="0.2">
      <c r="A23" s="45"/>
      <c r="I23" s="45"/>
      <c r="K23" s="46"/>
      <c r="L23" s="45"/>
      <c r="N23" s="46"/>
      <c r="Q23" s="45"/>
      <c r="S23" s="46"/>
      <c r="T23" s="45"/>
      <c r="V23" s="46"/>
      <c r="Y23" s="45"/>
      <c r="AA23" s="46"/>
    </row>
    <row r="24" spans="1:27" x14ac:dyDescent="0.2">
      <c r="A24" s="45"/>
      <c r="I24" s="45"/>
      <c r="K24" s="46"/>
      <c r="L24" s="45"/>
      <c r="N24" s="46"/>
      <c r="Q24" s="45"/>
      <c r="S24" s="46"/>
      <c r="T24" s="45"/>
      <c r="V24" s="46"/>
      <c r="Y24" s="45"/>
      <c r="AA24" s="46"/>
    </row>
    <row r="25" spans="1:27" x14ac:dyDescent="0.2">
      <c r="A25" s="45"/>
      <c r="I25" s="45"/>
      <c r="K25" s="46"/>
      <c r="L25" s="45"/>
      <c r="N25" s="46"/>
      <c r="Q25" s="45"/>
      <c r="S25" s="46"/>
      <c r="T25" s="45"/>
      <c r="V25" s="46"/>
      <c r="Y25" s="45"/>
      <c r="AA25" s="46"/>
    </row>
    <row r="26" spans="1:27" x14ac:dyDescent="0.2">
      <c r="A26" s="45"/>
      <c r="I26" s="45"/>
      <c r="K26" s="46"/>
      <c r="L26" s="45"/>
      <c r="N26" s="46"/>
      <c r="Q26" s="45"/>
      <c r="S26" s="46"/>
      <c r="T26" s="45"/>
      <c r="V26" s="46"/>
      <c r="Y26" s="45"/>
      <c r="AA26" s="46"/>
    </row>
    <row r="27" spans="1:27" x14ac:dyDescent="0.2">
      <c r="A27" s="45"/>
      <c r="I27" s="45"/>
      <c r="K27" s="46"/>
      <c r="L27" s="45"/>
      <c r="N27" s="46"/>
      <c r="Q27" s="45"/>
      <c r="S27" s="46"/>
      <c r="T27" s="45"/>
      <c r="V27" s="46"/>
      <c r="Y27" s="45"/>
      <c r="AA27" s="46"/>
    </row>
    <row r="28" spans="1:27" x14ac:dyDescent="0.2">
      <c r="A28" s="47"/>
      <c r="B28" s="48"/>
      <c r="C28" s="48"/>
      <c r="D28" s="48"/>
      <c r="E28" s="48"/>
      <c r="F28" s="48"/>
      <c r="G28" s="48"/>
      <c r="H28" s="48"/>
      <c r="I28" s="47"/>
      <c r="J28" s="48"/>
      <c r="K28" s="49"/>
      <c r="L28" s="47"/>
      <c r="M28" s="48"/>
      <c r="N28" s="49"/>
      <c r="O28" s="48"/>
      <c r="P28" s="48"/>
      <c r="Q28" s="47"/>
      <c r="R28" s="48"/>
      <c r="S28" s="49"/>
      <c r="T28" s="47"/>
      <c r="U28" s="48"/>
      <c r="V28" s="49"/>
      <c r="W28" s="48"/>
      <c r="X28" s="48"/>
      <c r="Y28" s="47"/>
      <c r="Z28" s="48"/>
      <c r="AA28" s="49"/>
    </row>
  </sheetData>
  <mergeCells count="1">
    <mergeCell ref="L1:N1"/>
  </mergeCells>
  <conditionalFormatting sqref="E3:E5">
    <cfRule type="expression" dxfId="64" priority="1">
      <formula>$D3="W"</formula>
    </cfRule>
    <cfRule type="expression" dxfId="63" priority="2">
      <formula>$D3="L"</formula>
    </cfRule>
    <cfRule type="expression" dxfId="62" priority="3" stopIfTrue="1">
      <formula>$D3="D"</formula>
    </cfRule>
  </conditionalFormatting>
  <pageMargins left="0.7" right="0.7" top="0.75" bottom="0.75" header="0.3" footer="0.3"/>
  <ignoredErrors>
    <ignoredError sqref="K3:K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F7E8-10FE-9343-89E1-12101028EF65}">
  <dimension ref="A5:T22"/>
  <sheetViews>
    <sheetView zoomScale="120" zoomScaleNormal="120" zoomScalePageLayoutView="125" workbookViewId="0">
      <selection activeCell="D14" sqref="D14"/>
    </sheetView>
  </sheetViews>
  <sheetFormatPr baseColWidth="10" defaultColWidth="8.83203125" defaultRowHeight="15" x14ac:dyDescent="0.2"/>
  <cols>
    <col min="1" max="1" width="16.83203125" bestFit="1" customWidth="1"/>
    <col min="2" max="2" width="11.33203125" style="16" bestFit="1" customWidth="1"/>
    <col min="3" max="3" width="11.5" style="16" bestFit="1" customWidth="1"/>
    <col min="4" max="4" width="9.6640625" bestFit="1" customWidth="1"/>
    <col min="5" max="5" width="10.1640625" bestFit="1" customWidth="1"/>
    <col min="6" max="6" width="10.6640625" bestFit="1" customWidth="1"/>
    <col min="7" max="7" width="10.1640625" bestFit="1" customWidth="1"/>
    <col min="8" max="8" width="9.83203125" bestFit="1" customWidth="1"/>
    <col min="10" max="10" width="10.5" customWidth="1"/>
    <col min="11" max="11" width="11.83203125" customWidth="1"/>
    <col min="12" max="12" width="12.6640625" customWidth="1"/>
    <col min="13" max="13" width="12.5" customWidth="1"/>
    <col min="14" max="16" width="11.6640625" customWidth="1"/>
    <col min="17" max="17" width="11.83203125" customWidth="1"/>
    <col min="18" max="18" width="12.1640625" customWidth="1"/>
    <col min="19" max="19" width="12" customWidth="1"/>
  </cols>
  <sheetData>
    <row r="5" spans="1:20" ht="16" thickBot="1" x14ac:dyDescent="0.25"/>
    <row r="6" spans="1:20" ht="25" thickBot="1" x14ac:dyDescent="0.35">
      <c r="A6" s="62" t="s">
        <v>107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0"/>
    </row>
    <row r="8" spans="1:20" x14ac:dyDescent="0.2">
      <c r="A8" s="55"/>
      <c r="B8" s="64" t="s">
        <v>76</v>
      </c>
      <c r="C8" s="64" t="s">
        <v>77</v>
      </c>
      <c r="D8" s="59" t="s">
        <v>106</v>
      </c>
      <c r="E8" s="59" t="s">
        <v>105</v>
      </c>
      <c r="F8" s="59" t="s">
        <v>104</v>
      </c>
      <c r="G8" s="59" t="s">
        <v>103</v>
      </c>
      <c r="H8" s="59" t="s">
        <v>102</v>
      </c>
      <c r="I8" s="59" t="s">
        <v>101</v>
      </c>
      <c r="J8" s="59" t="s">
        <v>100</v>
      </c>
      <c r="K8" s="59" t="s">
        <v>99</v>
      </c>
      <c r="L8" s="59" t="s">
        <v>98</v>
      </c>
      <c r="M8" s="59" t="s">
        <v>97</v>
      </c>
      <c r="N8" s="59" t="s">
        <v>96</v>
      </c>
      <c r="O8" s="59" t="s">
        <v>95</v>
      </c>
      <c r="P8" s="59" t="s">
        <v>94</v>
      </c>
      <c r="Q8" s="59" t="s">
        <v>93</v>
      </c>
      <c r="R8" s="59" t="s">
        <v>92</v>
      </c>
      <c r="S8" s="59" t="s">
        <v>91</v>
      </c>
      <c r="T8" s="59" t="s">
        <v>69</v>
      </c>
    </row>
    <row r="9" spans="1:20" x14ac:dyDescent="0.2">
      <c r="A9" s="58" t="s">
        <v>78</v>
      </c>
      <c r="B9" s="65" t="s">
        <v>79</v>
      </c>
      <c r="C9" s="65" t="s">
        <v>80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</row>
    <row r="10" spans="1:20" x14ac:dyDescent="0.2">
      <c r="A10" s="58" t="s">
        <v>84</v>
      </c>
      <c r="B10" s="65" t="s">
        <v>108</v>
      </c>
      <c r="C10" s="66" t="s">
        <v>109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</row>
    <row r="11" spans="1:20" x14ac:dyDescent="0.2">
      <c r="A11" s="58" t="s">
        <v>90</v>
      </c>
      <c r="B11" s="66"/>
      <c r="C11" s="6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5"/>
    </row>
    <row r="12" spans="1:20" x14ac:dyDescent="0.2">
      <c r="A12" s="55"/>
      <c r="B12" s="66"/>
      <c r="C12" s="6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7"/>
      <c r="R12" s="56"/>
      <c r="S12" s="56"/>
      <c r="T12" s="55"/>
    </row>
    <row r="13" spans="1:20" x14ac:dyDescent="0.2">
      <c r="A13" s="55" t="s">
        <v>44</v>
      </c>
      <c r="B13" s="65">
        <v>3</v>
      </c>
      <c r="C13" s="6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>
        <f>SUM(B13:S13)</f>
        <v>3</v>
      </c>
    </row>
    <row r="14" spans="1:20" x14ac:dyDescent="0.2">
      <c r="A14" s="55" t="s">
        <v>49</v>
      </c>
      <c r="B14" s="65"/>
      <c r="C14" s="6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>
        <f>SUM(B14:S14)</f>
        <v>0</v>
      </c>
    </row>
    <row r="15" spans="1:20" x14ac:dyDescent="0.2">
      <c r="A15" s="55" t="s">
        <v>53</v>
      </c>
      <c r="B15" s="65"/>
      <c r="C15" s="65">
        <v>3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>
        <f>SUM(B15:S15)</f>
        <v>3</v>
      </c>
    </row>
    <row r="16" spans="1:20" x14ac:dyDescent="0.2">
      <c r="A16" s="55" t="s">
        <v>55</v>
      </c>
      <c r="B16" s="65"/>
      <c r="C16" s="6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>
        <f>SUM(B16:S16)</f>
        <v>0</v>
      </c>
    </row>
    <row r="17" spans="1:20" x14ac:dyDescent="0.2">
      <c r="A17" s="55" t="s">
        <v>57</v>
      </c>
      <c r="B17" s="65"/>
      <c r="C17" s="6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>
        <f>SUM(B17:S17)</f>
        <v>0</v>
      </c>
    </row>
    <row r="18" spans="1:20" x14ac:dyDescent="0.2">
      <c r="A18" s="55" t="s">
        <v>59</v>
      </c>
      <c r="B18" s="65">
        <v>1</v>
      </c>
      <c r="C18" s="6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>
        <f>SUM(B18:S18)</f>
        <v>1</v>
      </c>
    </row>
    <row r="19" spans="1:20" x14ac:dyDescent="0.2">
      <c r="A19" s="55" t="s">
        <v>61</v>
      </c>
      <c r="B19" s="65">
        <v>2</v>
      </c>
      <c r="C19" s="65">
        <v>2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>
        <f>SUM(B19:S19)</f>
        <v>4</v>
      </c>
    </row>
    <row r="20" spans="1:20" x14ac:dyDescent="0.2">
      <c r="A20" s="55" t="s">
        <v>64</v>
      </c>
      <c r="B20" s="65"/>
      <c r="C20" s="65">
        <v>1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>
        <f>SUM(B20:S20)</f>
        <v>1</v>
      </c>
    </row>
    <row r="21" spans="1:20" x14ac:dyDescent="0.2">
      <c r="A21" s="55" t="s">
        <v>65</v>
      </c>
      <c r="B21" s="65"/>
      <c r="C21" s="6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>
        <f>SUM(B21:S21)</f>
        <v>0</v>
      </c>
    </row>
    <row r="22" spans="1:20" x14ac:dyDescent="0.2">
      <c r="A22" s="55" t="s">
        <v>68</v>
      </c>
      <c r="B22" s="65"/>
      <c r="C22" s="6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>
        <f>SUM(B22:S22)</f>
        <v>0</v>
      </c>
    </row>
  </sheetData>
  <mergeCells count="1">
    <mergeCell ref="A6:T6"/>
  </mergeCells>
  <pageMargins left="0.7" right="0.7" top="0.75" bottom="0.75" header="0.3" footer="0.3"/>
  <pageSetup paperSize="9" orientation="portrait" horizontalDpi="4294967293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AB1E3-EB5C-844B-B436-311A4E55F778}">
  <dimension ref="A1:S14"/>
  <sheetViews>
    <sheetView zoomScale="97" workbookViewId="0">
      <selection activeCell="N16" sqref="N16"/>
    </sheetView>
  </sheetViews>
  <sheetFormatPr baseColWidth="10" defaultColWidth="8.83203125" defaultRowHeight="19" x14ac:dyDescent="0.25"/>
  <cols>
    <col min="1" max="1" width="19.5" style="1" bestFit="1" customWidth="1"/>
    <col min="2" max="2" width="20" style="1" customWidth="1"/>
    <col min="3" max="3" width="18.5" style="1" bestFit="1" customWidth="1"/>
    <col min="4" max="4" width="14.83203125" style="1" bestFit="1" customWidth="1"/>
    <col min="5" max="5" width="14" style="1" customWidth="1"/>
    <col min="6" max="6" width="20" style="1" bestFit="1" customWidth="1"/>
    <col min="7" max="7" width="20.33203125" style="1" bestFit="1" customWidth="1"/>
    <col min="8" max="8" width="15.5" style="1" customWidth="1"/>
    <col min="9" max="9" width="12.6640625" style="1" customWidth="1"/>
    <col min="10" max="10" width="23.33203125" style="1" bestFit="1" customWidth="1"/>
    <col min="11" max="11" width="23.33203125" style="1" customWidth="1"/>
    <col min="12" max="12" width="22.5" style="1" bestFit="1" customWidth="1"/>
    <col min="13" max="15" width="22.5" style="1" customWidth="1"/>
    <col min="16" max="17" width="15.5" style="1" customWidth="1"/>
    <col min="20" max="16384" width="8.83203125" style="1"/>
  </cols>
  <sheetData>
    <row r="1" spans="1:19" ht="32.25" customHeight="1" x14ac:dyDescent="0.25">
      <c r="A1" s="1" t="s">
        <v>26</v>
      </c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7</v>
      </c>
      <c r="Q1" s="1" t="s">
        <v>42</v>
      </c>
      <c r="R1" s="1" t="s">
        <v>40</v>
      </c>
      <c r="S1" s="1"/>
    </row>
    <row r="2" spans="1:19" ht="34.5" customHeight="1" x14ac:dyDescent="0.25">
      <c r="A2" s="1" t="s">
        <v>43</v>
      </c>
      <c r="B2" s="1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45</v>
      </c>
      <c r="N2" s="5" t="s">
        <v>45</v>
      </c>
      <c r="O2" s="5" t="s">
        <v>46</v>
      </c>
      <c r="P2" s="5"/>
      <c r="Q2" s="5" t="s">
        <v>47</v>
      </c>
      <c r="R2" s="5"/>
      <c r="S2" s="1"/>
    </row>
    <row r="3" spans="1:19" ht="35.25" customHeight="1" x14ac:dyDescent="0.25">
      <c r="A3" s="1" t="s">
        <v>48</v>
      </c>
      <c r="B3" s="1" t="s">
        <v>49</v>
      </c>
      <c r="C3" s="5"/>
      <c r="D3" s="5"/>
      <c r="E3" s="5"/>
      <c r="F3" s="5"/>
      <c r="G3" s="5"/>
      <c r="H3" s="5"/>
      <c r="I3" s="5"/>
      <c r="J3" s="6"/>
      <c r="K3" s="6"/>
      <c r="L3" s="6"/>
      <c r="M3" s="6" t="s">
        <v>50</v>
      </c>
      <c r="N3" s="6" t="s">
        <v>50</v>
      </c>
      <c r="O3" s="6" t="s">
        <v>50</v>
      </c>
      <c r="P3" s="5"/>
      <c r="Q3" s="5" t="s">
        <v>51</v>
      </c>
      <c r="R3" s="5"/>
      <c r="S3" s="1"/>
    </row>
    <row r="4" spans="1:19" ht="34.5" customHeight="1" x14ac:dyDescent="0.25">
      <c r="A4" s="1" t="s">
        <v>52</v>
      </c>
      <c r="B4" s="1" t="s">
        <v>53</v>
      </c>
      <c r="C4" s="5"/>
      <c r="D4" s="5"/>
      <c r="E4" s="5"/>
      <c r="F4" s="5"/>
      <c r="G4" s="5"/>
      <c r="H4" s="5"/>
      <c r="I4" s="5"/>
      <c r="J4" s="5"/>
      <c r="K4" s="5"/>
      <c r="L4" s="5"/>
      <c r="M4" s="5" t="s">
        <v>50</v>
      </c>
      <c r="N4" s="5" t="s">
        <v>46</v>
      </c>
      <c r="O4" s="5" t="s">
        <v>50</v>
      </c>
      <c r="P4" s="5"/>
      <c r="Q4" s="5" t="s">
        <v>46</v>
      </c>
      <c r="R4" s="5"/>
      <c r="S4" s="1"/>
    </row>
    <row r="5" spans="1:19" ht="34.5" customHeight="1" x14ac:dyDescent="0.25">
      <c r="A5" s="1" t="s">
        <v>54</v>
      </c>
      <c r="B5" s="1" t="s">
        <v>55</v>
      </c>
      <c r="C5" s="5"/>
      <c r="D5" s="5"/>
      <c r="E5" s="5"/>
      <c r="F5" s="5"/>
      <c r="G5" s="5"/>
      <c r="H5" s="5"/>
      <c r="I5" s="5"/>
      <c r="J5" s="5"/>
      <c r="K5" s="5"/>
      <c r="L5" s="5"/>
      <c r="M5" s="5" t="s">
        <v>50</v>
      </c>
      <c r="N5" s="5" t="s">
        <v>46</v>
      </c>
      <c r="O5" s="5" t="s">
        <v>50</v>
      </c>
      <c r="P5" s="5"/>
      <c r="Q5" s="5" t="s">
        <v>46</v>
      </c>
      <c r="R5" s="5"/>
      <c r="S5" s="1"/>
    </row>
    <row r="6" spans="1:19" ht="37.5" customHeight="1" x14ac:dyDescent="0.25">
      <c r="A6" s="1" t="s">
        <v>56</v>
      </c>
      <c r="B6" s="1" t="s">
        <v>57</v>
      </c>
      <c r="C6" s="5"/>
      <c r="D6" s="5"/>
      <c r="E6" s="5"/>
      <c r="F6" s="5"/>
      <c r="G6" s="5"/>
      <c r="H6" s="5"/>
      <c r="I6" s="5"/>
      <c r="J6" s="5"/>
      <c r="K6" s="5"/>
      <c r="L6" s="5"/>
      <c r="M6" s="5" t="s">
        <v>50</v>
      </c>
      <c r="N6" s="5" t="s">
        <v>51</v>
      </c>
      <c r="O6" s="5" t="s">
        <v>50</v>
      </c>
      <c r="P6" s="5"/>
      <c r="Q6" s="5" t="s">
        <v>46</v>
      </c>
      <c r="R6" s="5"/>
      <c r="S6" s="1"/>
    </row>
    <row r="7" spans="1:19" ht="31.5" customHeight="1" x14ac:dyDescent="0.25">
      <c r="A7" s="1" t="s">
        <v>58</v>
      </c>
      <c r="B7" s="1" t="s">
        <v>59</v>
      </c>
      <c r="C7" s="5"/>
      <c r="D7" s="5"/>
      <c r="E7" s="5"/>
      <c r="F7" s="5"/>
      <c r="G7" s="5"/>
      <c r="H7" s="5"/>
      <c r="I7" s="5"/>
      <c r="J7" s="5"/>
      <c r="K7" s="5"/>
      <c r="L7" s="5"/>
      <c r="M7" s="5" t="s">
        <v>45</v>
      </c>
      <c r="N7" s="5" t="s">
        <v>50</v>
      </c>
      <c r="O7" s="5" t="s">
        <v>50</v>
      </c>
      <c r="P7" s="5"/>
      <c r="Q7" s="5" t="s">
        <v>45</v>
      </c>
      <c r="R7" s="5"/>
      <c r="S7" s="1"/>
    </row>
    <row r="8" spans="1:19" ht="35.25" customHeight="1" x14ac:dyDescent="0.25">
      <c r="A8" s="1" t="s">
        <v>60</v>
      </c>
      <c r="B8" s="1" t="s">
        <v>61</v>
      </c>
      <c r="C8" s="5"/>
      <c r="D8" s="5"/>
      <c r="E8" s="5"/>
      <c r="F8" s="5"/>
      <c r="G8" s="5"/>
      <c r="H8" s="5"/>
      <c r="I8" s="5"/>
      <c r="J8" s="5"/>
      <c r="K8" s="5"/>
      <c r="L8" s="5"/>
      <c r="M8" s="5" t="s">
        <v>51</v>
      </c>
      <c r="N8" s="5" t="s">
        <v>51</v>
      </c>
      <c r="O8" s="5" t="s">
        <v>50</v>
      </c>
      <c r="P8" s="5"/>
      <c r="Q8" s="5" t="s">
        <v>62</v>
      </c>
      <c r="R8" s="5"/>
      <c r="S8" s="1"/>
    </row>
    <row r="9" spans="1:19" ht="30.75" customHeight="1" x14ac:dyDescent="0.25">
      <c r="A9" s="1" t="s">
        <v>63</v>
      </c>
      <c r="B9" s="1" t="s">
        <v>64</v>
      </c>
      <c r="C9" s="5"/>
      <c r="D9" s="5"/>
      <c r="E9" s="5"/>
      <c r="F9" s="5"/>
      <c r="G9" s="5"/>
      <c r="H9" s="5"/>
      <c r="I9" s="5"/>
      <c r="J9" s="5"/>
      <c r="K9" s="5"/>
      <c r="L9" s="5"/>
      <c r="M9" s="5" t="s">
        <v>45</v>
      </c>
      <c r="N9" s="5" t="s">
        <v>50</v>
      </c>
      <c r="O9" s="5" t="s">
        <v>50</v>
      </c>
      <c r="P9" s="5"/>
      <c r="Q9" s="5" t="s">
        <v>46</v>
      </c>
      <c r="R9" s="5"/>
      <c r="S9" s="1"/>
    </row>
    <row r="10" spans="1:19" ht="33.75" customHeight="1" x14ac:dyDescent="0.25">
      <c r="B10" s="1" t="s">
        <v>65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"/>
    </row>
    <row r="11" spans="1:19" ht="33" customHeight="1" x14ac:dyDescent="0.25">
      <c r="A11" s="1" t="s">
        <v>67</v>
      </c>
      <c r="B11" s="1" t="s">
        <v>68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 t="s">
        <v>50</v>
      </c>
      <c r="N11" s="5" t="s">
        <v>46</v>
      </c>
      <c r="O11" s="5" t="s">
        <v>46</v>
      </c>
      <c r="P11" s="5"/>
      <c r="Q11" s="5" t="s">
        <v>46</v>
      </c>
      <c r="R11" s="5"/>
      <c r="S11" s="1"/>
    </row>
    <row r="12" spans="1:19" x14ac:dyDescent="0.25">
      <c r="A12" s="1" t="s">
        <v>69</v>
      </c>
      <c r="C12" s="5">
        <f>SUM(Table15[Steals])</f>
        <v>0</v>
      </c>
      <c r="D12" s="5">
        <f>SUM(Table15[Turnovers])</f>
        <v>0</v>
      </c>
      <c r="E12" s="5">
        <f>SUM(Table15[Assists])</f>
        <v>0</v>
      </c>
      <c r="F12" s="5">
        <f>SUM(Table15[Rebound (Offensive)])</f>
        <v>0</v>
      </c>
      <c r="G12" s="5">
        <f>SUM(Table15[Rebound (Defensive)])</f>
        <v>0</v>
      </c>
      <c r="H12" s="5">
        <f>SUM(Table15[Charge (Offensive)])</f>
        <v>0</v>
      </c>
      <c r="I12" s="5">
        <f>SUM(Table15[Charge (Defensive)])</f>
        <v>0</v>
      </c>
      <c r="J12" s="5">
        <f>SUM(Table15[Field Goal (A)])</f>
        <v>0</v>
      </c>
      <c r="K12" s="5">
        <f>SUM(Table15[Three Pointer (A)])</f>
        <v>0</v>
      </c>
      <c r="L12" s="5">
        <f>SUM(Table15[Foul Shot (A)])</f>
        <v>0</v>
      </c>
      <c r="M12" s="5">
        <f>SUM(Table15[Field Goal (M)])</f>
        <v>0</v>
      </c>
      <c r="N12" s="5">
        <f>SUM(Table15[Three Pointer (M)])</f>
        <v>0</v>
      </c>
      <c r="O12" s="5">
        <f>SUM(Table15[Foul Shot (M)])</f>
        <v>0</v>
      </c>
      <c r="P12" s="5">
        <f>SUM(Table15[[Points ]])</f>
        <v>0</v>
      </c>
      <c r="Q12" s="5"/>
      <c r="R12" s="5"/>
      <c r="S12" s="1"/>
    </row>
    <row r="13" spans="1:19" ht="20" thickBot="1" x14ac:dyDescent="0.3"/>
    <row r="14" spans="1:19" ht="41" thickBot="1" x14ac:dyDescent="0.3">
      <c r="A14" s="4" t="s">
        <v>70</v>
      </c>
      <c r="B14" s="10"/>
      <c r="C14" s="7"/>
      <c r="D14" s="7"/>
      <c r="E14" s="7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A1B9DF0DAC5048BFBEE42EC160F580" ma:contentTypeVersion="18" ma:contentTypeDescription="Create a new document." ma:contentTypeScope="" ma:versionID="6f861e09242cb3cfe2c211e6943d7cd1">
  <xsd:schema xmlns:xsd="http://www.w3.org/2001/XMLSchema" xmlns:xs="http://www.w3.org/2001/XMLSchema" xmlns:p="http://schemas.microsoft.com/office/2006/metadata/properties" xmlns:ns2="b84cef8f-85bd-4220-b41e-1b776e076b5a" xmlns:ns3="58176e20-8a4d-4789-9c21-a28681261210" targetNamespace="http://schemas.microsoft.com/office/2006/metadata/properties" ma:root="true" ma:fieldsID="004947652ce8d19adb8fcfc5b54470db" ns2:_="" ns3:_="">
    <xsd:import namespace="b84cef8f-85bd-4220-b41e-1b776e076b5a"/>
    <xsd:import namespace="58176e20-8a4d-4789-9c21-a286812612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cef8f-85bd-4220-b41e-1b776e076b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8a77a0f-c8dd-49b1-9ad4-afc48ce0e7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176e20-8a4d-4789-9c21-a286812612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fffe578-1058-4256-99aa-13f59f7555e4}" ma:internalName="TaxCatchAll" ma:showField="CatchAllData" ma:web="58176e20-8a4d-4789-9c21-a286812612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4cef8f-85bd-4220-b41e-1b776e076b5a">
      <Terms xmlns="http://schemas.microsoft.com/office/infopath/2007/PartnerControls"/>
    </lcf76f155ced4ddcb4097134ff3c332f>
    <TaxCatchAll xmlns="58176e20-8a4d-4789-9c21-a28681261210" xsi:nil="true"/>
  </documentManagement>
</p:properties>
</file>

<file path=customXml/itemProps1.xml><?xml version="1.0" encoding="utf-8"?>
<ds:datastoreItem xmlns:ds="http://schemas.openxmlformats.org/officeDocument/2006/customXml" ds:itemID="{9B35892E-3AE7-449A-8561-D32863A7EB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4cef8f-85bd-4220-b41e-1b776e076b5a"/>
    <ds:schemaRef ds:uri="58176e20-8a4d-4789-9c21-a286812612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8A064E-9022-464F-94F2-82AA30FD76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9A7BDE-EE3D-43D1-A1F2-94F2C6EED899}">
  <ds:schemaRefs>
    <ds:schemaRef ds:uri="http://purl.org/dc/dcmitype/"/>
    <ds:schemaRef ds:uri="b84cef8f-85bd-4220-b41e-1b776e076b5a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58176e20-8a4d-4789-9c21-a28681261210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Keyborough 2 (Grading)</vt:lpstr>
      <vt:lpstr>Pakenham 5 (Grading)</vt:lpstr>
      <vt:lpstr>McKinnon 6 (Grading)</vt:lpstr>
      <vt:lpstr>Camberwell 7 (Round 1)</vt:lpstr>
      <vt:lpstr>Westernport 3 (Round 2)</vt:lpstr>
      <vt:lpstr>Aggregate</vt:lpstr>
      <vt:lpstr>MVP</vt:lpstr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Wesley Fischer</cp:lastModifiedBy>
  <cp:revision/>
  <dcterms:created xsi:type="dcterms:W3CDTF">2025-02-08T02:19:43Z</dcterms:created>
  <dcterms:modified xsi:type="dcterms:W3CDTF">2025-03-18T04:39:52Z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0x0101009DA1B9DF0DAC5048BFBEE42EC160F580</vt:lpwstr>
  </property>
</Properties>
</file>